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W:\ЗАКУПКИ\07 - Тендеры 2021\014 - СМР Элистинская СЭС\Пакет ПДО\"/>
    </mc:Choice>
  </mc:AlternateContent>
  <bookViews>
    <workbookView xWindow="0" yWindow="0" windowWidth="19200" windowHeight="6760" tabRatio="878" firstSheet="1" activeTab="1"/>
  </bookViews>
  <sheets>
    <sheet name="проекты 2019" sheetId="5" state="hidden" r:id="rId1"/>
    <sheet name="ПК1 (1,2,3,4,5 этапы)" sheetId="20" r:id="rId2"/>
    <sheet name="ПК2 (1,2,3 этапы)" sheetId="22" r:id="rId3"/>
  </sheets>
  <externalReferences>
    <externalReference r:id="rId4"/>
  </externalReferences>
  <definedNames>
    <definedName name="_xlnm._FilterDatabase" localSheetId="1" hidden="1">'ПК1 (1,2,3,4,5 этапы)'!$A$11:$G$106</definedName>
    <definedName name="_xlnm._FilterDatabase" localSheetId="0" hidden="1">'проекты 2019'!$B$2:$AI$33</definedName>
    <definedName name="_xlnm.Print_Area" localSheetId="1">'ПК1 (1,2,3,4,5 этапы)'!$A$1:$G$317</definedName>
    <definedName name="_xlnm.Print_Area" localSheetId="2">'ПК2 (1,2,3 этапы)'!$A$1:$G$183</definedName>
    <definedName name="_xlnm.Print_Area" localSheetId="0">'проекты 2019'!$A$1:$AJ$33</definedName>
  </definedNames>
  <calcPr calcId="162913"/>
</workbook>
</file>

<file path=xl/calcChain.xml><?xml version="1.0" encoding="utf-8"?>
<calcChain xmlns="http://schemas.openxmlformats.org/spreadsheetml/2006/main">
  <c r="F171" i="22" l="1"/>
  <c r="F167" i="22"/>
  <c r="F159" i="22"/>
  <c r="F117" i="22"/>
  <c r="F67" i="22"/>
  <c r="F59" i="22"/>
  <c r="F306" i="20"/>
  <c r="F302" i="20"/>
  <c r="F294" i="20"/>
  <c r="F252" i="20"/>
  <c r="F244" i="20"/>
  <c r="F202" i="20"/>
  <c r="F194" i="20"/>
  <c r="F153" i="20"/>
  <c r="F145" i="20"/>
  <c r="F104" i="20"/>
  <c r="F96" i="20"/>
  <c r="F89" i="20"/>
  <c r="F88" i="20"/>
  <c r="F303" i="20" l="1"/>
  <c r="F253" i="20"/>
  <c r="F295" i="20"/>
  <c r="F245" i="20"/>
  <c r="F203" i="20"/>
  <c r="F195" i="20"/>
  <c r="F154" i="20"/>
  <c r="F146" i="20"/>
  <c r="F105" i="20"/>
  <c r="F97" i="20"/>
  <c r="F166" i="22" l="1"/>
  <c r="F165" i="22"/>
  <c r="F126" i="22"/>
  <c r="F127" i="22"/>
  <c r="F130" i="22"/>
  <c r="F131" i="22"/>
  <c r="F133" i="22"/>
  <c r="F134" i="22"/>
  <c r="F136" i="22"/>
  <c r="F137" i="22"/>
  <c r="F139" i="22"/>
  <c r="F140" i="22"/>
  <c r="F147" i="22"/>
  <c r="F148" i="22"/>
  <c r="F149" i="22"/>
  <c r="F150" i="22"/>
  <c r="F151" i="22"/>
  <c r="F152" i="22"/>
  <c r="F154" i="22"/>
  <c r="F156" i="22"/>
  <c r="F157" i="22"/>
  <c r="F158" i="22"/>
  <c r="F125" i="22"/>
  <c r="F77" i="22"/>
  <c r="F78" i="22"/>
  <c r="F81" i="22"/>
  <c r="F82" i="22"/>
  <c r="F84" i="22"/>
  <c r="F85" i="22"/>
  <c r="F87" i="22"/>
  <c r="F88" i="22"/>
  <c r="F90" i="22"/>
  <c r="F91" i="22"/>
  <c r="F98" i="22"/>
  <c r="F99" i="22"/>
  <c r="F100" i="22"/>
  <c r="F101" i="22"/>
  <c r="F102" i="22"/>
  <c r="F103" i="22"/>
  <c r="F105" i="22"/>
  <c r="F107" i="22"/>
  <c r="F108" i="22"/>
  <c r="F66" i="22"/>
  <c r="F65" i="22"/>
  <c r="F16" i="22"/>
  <c r="F17" i="22"/>
  <c r="F20" i="22"/>
  <c r="F21" i="22"/>
  <c r="F23" i="22"/>
  <c r="F24" i="22"/>
  <c r="F26" i="22"/>
  <c r="F27" i="22"/>
  <c r="F28" i="22"/>
  <c r="F30" i="22"/>
  <c r="F31" i="22"/>
  <c r="F32" i="22"/>
  <c r="F39" i="22"/>
  <c r="F40" i="22"/>
  <c r="F41" i="22"/>
  <c r="F42" i="22"/>
  <c r="F43" i="22"/>
  <c r="F45" i="22"/>
  <c r="F46" i="22"/>
  <c r="F48" i="22"/>
  <c r="F50" i="22"/>
  <c r="F51" i="22"/>
  <c r="F52" i="22"/>
  <c r="F53" i="22"/>
  <c r="F54" i="22"/>
  <c r="F55" i="22"/>
  <c r="F56" i="22"/>
  <c r="F57" i="22"/>
  <c r="F58" i="22"/>
  <c r="F15" i="22"/>
  <c r="F301" i="20"/>
  <c r="F300" i="20"/>
  <c r="F262" i="20"/>
  <c r="F263" i="20"/>
  <c r="F266" i="20"/>
  <c r="F267" i="20"/>
  <c r="F269" i="20"/>
  <c r="F270" i="20"/>
  <c r="F272" i="20"/>
  <c r="F273" i="20"/>
  <c r="F275" i="20"/>
  <c r="F283" i="20"/>
  <c r="F284" i="20"/>
  <c r="F285" i="20"/>
  <c r="F286" i="20"/>
  <c r="F287" i="20"/>
  <c r="F288" i="20"/>
  <c r="F290" i="20"/>
  <c r="F293" i="20"/>
  <c r="F261" i="20"/>
  <c r="F251" i="20"/>
  <c r="F250" i="20"/>
  <c r="F212" i="20"/>
  <c r="F213" i="20"/>
  <c r="F216" i="20"/>
  <c r="F217" i="20"/>
  <c r="F219" i="20"/>
  <c r="F220" i="20"/>
  <c r="F222" i="20"/>
  <c r="F223" i="20"/>
  <c r="F225" i="20"/>
  <c r="F233" i="20"/>
  <c r="F234" i="20"/>
  <c r="F235" i="20"/>
  <c r="F236" i="20"/>
  <c r="F237" i="20"/>
  <c r="F238" i="20"/>
  <c r="F240" i="20"/>
  <c r="F243" i="20"/>
  <c r="F211" i="20"/>
  <c r="F201" i="20"/>
  <c r="F200" i="20"/>
  <c r="F162" i="20"/>
  <c r="F163" i="20"/>
  <c r="F166" i="20"/>
  <c r="F167" i="20"/>
  <c r="F169" i="20"/>
  <c r="F170" i="20"/>
  <c r="F172" i="20"/>
  <c r="F173" i="20"/>
  <c r="F175" i="20"/>
  <c r="F183" i="20"/>
  <c r="F184" i="20"/>
  <c r="F185" i="20"/>
  <c r="F186" i="20"/>
  <c r="F187" i="20"/>
  <c r="F188" i="20"/>
  <c r="F190" i="20"/>
  <c r="F193" i="20"/>
  <c r="F161" i="20"/>
  <c r="F152" i="20"/>
  <c r="F151" i="20"/>
  <c r="F113" i="20"/>
  <c r="F114" i="20"/>
  <c r="F117" i="20"/>
  <c r="F118" i="20"/>
  <c r="F120" i="20"/>
  <c r="F121" i="20"/>
  <c r="F123" i="20"/>
  <c r="F124" i="20"/>
  <c r="F126" i="20"/>
  <c r="F134" i="20"/>
  <c r="F135" i="20"/>
  <c r="F136" i="20"/>
  <c r="F137" i="20"/>
  <c r="F138" i="20"/>
  <c r="F139" i="20"/>
  <c r="F141" i="20"/>
  <c r="F144" i="20"/>
  <c r="F112" i="20"/>
  <c r="F103" i="20"/>
  <c r="F102" i="20"/>
  <c r="F95" i="20"/>
  <c r="F94" i="20"/>
  <c r="F18" i="20"/>
  <c r="F19" i="20"/>
  <c r="F21" i="20"/>
  <c r="F22" i="20"/>
  <c r="F23" i="20"/>
  <c r="F24" i="20"/>
  <c r="F25" i="20"/>
  <c r="F26" i="20"/>
  <c r="F27" i="20"/>
  <c r="F28" i="20"/>
  <c r="F29" i="20"/>
  <c r="F32" i="20"/>
  <c r="F33" i="20"/>
  <c r="F34" i="20"/>
  <c r="F35" i="20"/>
  <c r="F38" i="20"/>
  <c r="F39" i="20"/>
  <c r="F40" i="20"/>
  <c r="F41" i="20"/>
  <c r="F42" i="20"/>
  <c r="F43" i="20"/>
  <c r="F44" i="20"/>
  <c r="F46" i="20"/>
  <c r="F47" i="20"/>
  <c r="F48" i="20"/>
  <c r="F49" i="20"/>
  <c r="F50" i="20"/>
  <c r="F51" i="20"/>
  <c r="F52" i="20"/>
  <c r="F53" i="20"/>
  <c r="F62" i="20"/>
  <c r="F63" i="20"/>
  <c r="F64" i="20"/>
  <c r="F65" i="20"/>
  <c r="F66" i="20"/>
  <c r="F67" i="20"/>
  <c r="F68" i="20"/>
  <c r="F70" i="20"/>
  <c r="F71" i="20"/>
  <c r="F72" i="20"/>
  <c r="F74" i="20"/>
  <c r="F76" i="20"/>
  <c r="F77" i="20"/>
  <c r="F78" i="20"/>
  <c r="F79" i="20"/>
  <c r="F80" i="20"/>
  <c r="F81" i="20"/>
  <c r="F82" i="20"/>
  <c r="F83" i="20"/>
  <c r="F84" i="20"/>
  <c r="F86" i="20"/>
  <c r="F87" i="20"/>
  <c r="F68" i="22" l="1"/>
  <c r="D155" i="22" l="1"/>
  <c r="F155" i="22" s="1"/>
  <c r="D153" i="22"/>
  <c r="F153" i="22" s="1"/>
  <c r="D146" i="22"/>
  <c r="F146" i="22" s="1"/>
  <c r="D145" i="22"/>
  <c r="F145" i="22" s="1"/>
  <c r="D144" i="22"/>
  <c r="F144" i="22" s="1"/>
  <c r="D143" i="22"/>
  <c r="F143" i="22" s="1"/>
  <c r="D142" i="22"/>
  <c r="F142" i="22" s="1"/>
  <c r="D141" i="22"/>
  <c r="F141" i="22" s="1"/>
  <c r="D138" i="22"/>
  <c r="F138" i="22" s="1"/>
  <c r="D135" i="22"/>
  <c r="F135" i="22" s="1"/>
  <c r="D132" i="22"/>
  <c r="F132" i="22" s="1"/>
  <c r="D129" i="22"/>
  <c r="F129" i="22" s="1"/>
  <c r="D128" i="22"/>
  <c r="F128" i="22" s="1"/>
  <c r="D106" i="22"/>
  <c r="F106" i="22" s="1"/>
  <c r="D104" i="22"/>
  <c r="F104" i="22" s="1"/>
  <c r="D97" i="22"/>
  <c r="F97" i="22" s="1"/>
  <c r="D96" i="22"/>
  <c r="F96" i="22" s="1"/>
  <c r="D95" i="22"/>
  <c r="F95" i="22" s="1"/>
  <c r="D94" i="22"/>
  <c r="F94" i="22" s="1"/>
  <c r="D93" i="22"/>
  <c r="F93" i="22" s="1"/>
  <c r="D92" i="22"/>
  <c r="F92" i="22" s="1"/>
  <c r="D89" i="22"/>
  <c r="F89" i="22" s="1"/>
  <c r="D86" i="22"/>
  <c r="F86" i="22" s="1"/>
  <c r="D83" i="22"/>
  <c r="F83" i="22" s="1"/>
  <c r="D80" i="22"/>
  <c r="F80" i="22" s="1"/>
  <c r="D79" i="22"/>
  <c r="F79" i="22" s="1"/>
  <c r="D76" i="22"/>
  <c r="F76" i="22" s="1"/>
  <c r="D49" i="22"/>
  <c r="F49" i="22" s="1"/>
  <c r="D47" i="22"/>
  <c r="F47" i="22" s="1"/>
  <c r="D44" i="22"/>
  <c r="F44" i="22" s="1"/>
  <c r="D38" i="22"/>
  <c r="F38" i="22" s="1"/>
  <c r="D37" i="22"/>
  <c r="F37" i="22" s="1"/>
  <c r="D36" i="22"/>
  <c r="F36" i="22" s="1"/>
  <c r="D35" i="22"/>
  <c r="F35" i="22" s="1"/>
  <c r="D34" i="22"/>
  <c r="F34" i="22" s="1"/>
  <c r="D33" i="22"/>
  <c r="F33" i="22" s="1"/>
  <c r="D29" i="22"/>
  <c r="F29" i="22" s="1"/>
  <c r="D25" i="22"/>
  <c r="F25" i="22" s="1"/>
  <c r="D22" i="22"/>
  <c r="F22" i="22" s="1"/>
  <c r="D19" i="22"/>
  <c r="F19" i="22" s="1"/>
  <c r="D18" i="22"/>
  <c r="F18" i="22" s="1"/>
  <c r="D292" i="20"/>
  <c r="F292" i="20" s="1"/>
  <c r="D291" i="20"/>
  <c r="F291" i="20" s="1"/>
  <c r="D289" i="20"/>
  <c r="F289" i="20" s="1"/>
  <c r="D282" i="20"/>
  <c r="F282" i="20" s="1"/>
  <c r="D281" i="20"/>
  <c r="F281" i="20" s="1"/>
  <c r="D280" i="20"/>
  <c r="F280" i="20" s="1"/>
  <c r="D279" i="20"/>
  <c r="F279" i="20" s="1"/>
  <c r="D278" i="20"/>
  <c r="F278" i="20" s="1"/>
  <c r="D277" i="20"/>
  <c r="F277" i="20" s="1"/>
  <c r="D276" i="20"/>
  <c r="F276" i="20" s="1"/>
  <c r="D274" i="20"/>
  <c r="F274" i="20" s="1"/>
  <c r="D271" i="20"/>
  <c r="F271" i="20" s="1"/>
  <c r="D268" i="20"/>
  <c r="F268" i="20" s="1"/>
  <c r="D265" i="20"/>
  <c r="F265" i="20" s="1"/>
  <c r="D264" i="20"/>
  <c r="F264" i="20" s="1"/>
  <c r="F254" i="20"/>
  <c r="D242" i="20"/>
  <c r="F242" i="20" s="1"/>
  <c r="D241" i="20"/>
  <c r="F241" i="20" s="1"/>
  <c r="D239" i="20"/>
  <c r="F239" i="20" s="1"/>
  <c r="D232" i="20"/>
  <c r="F232" i="20" s="1"/>
  <c r="D231" i="20"/>
  <c r="F231" i="20" s="1"/>
  <c r="D230" i="20"/>
  <c r="F230" i="20" s="1"/>
  <c r="D229" i="20"/>
  <c r="F229" i="20" s="1"/>
  <c r="D228" i="20"/>
  <c r="F228" i="20" s="1"/>
  <c r="D227" i="20"/>
  <c r="F227" i="20" s="1"/>
  <c r="D226" i="20"/>
  <c r="F226" i="20" s="1"/>
  <c r="D224" i="20"/>
  <c r="F224" i="20" s="1"/>
  <c r="D221" i="20"/>
  <c r="F221" i="20" s="1"/>
  <c r="D218" i="20"/>
  <c r="F218" i="20" s="1"/>
  <c r="D215" i="20"/>
  <c r="F215" i="20" s="1"/>
  <c r="D214" i="20"/>
  <c r="F214" i="20" s="1"/>
  <c r="F204" i="20"/>
  <c r="D192" i="20"/>
  <c r="F192" i="20" s="1"/>
  <c r="D191" i="20"/>
  <c r="F191" i="20" s="1"/>
  <c r="D189" i="20"/>
  <c r="F189" i="20" s="1"/>
  <c r="D182" i="20"/>
  <c r="F182" i="20" s="1"/>
  <c r="D181" i="20"/>
  <c r="F181" i="20" s="1"/>
  <c r="D180" i="20"/>
  <c r="F180" i="20" s="1"/>
  <c r="D179" i="20"/>
  <c r="F179" i="20" s="1"/>
  <c r="D178" i="20"/>
  <c r="F178" i="20" s="1"/>
  <c r="D177" i="20"/>
  <c r="F177" i="20" s="1"/>
  <c r="D176" i="20"/>
  <c r="F176" i="20" s="1"/>
  <c r="D174" i="20"/>
  <c r="F174" i="20" s="1"/>
  <c r="D171" i="20"/>
  <c r="F171" i="20" s="1"/>
  <c r="D168" i="20"/>
  <c r="F168" i="20" s="1"/>
  <c r="D165" i="20"/>
  <c r="F165" i="20" s="1"/>
  <c r="D164" i="20"/>
  <c r="F164" i="20" s="1"/>
  <c r="F60" i="22" l="1"/>
  <c r="F109" i="22"/>
  <c r="F160" i="22"/>
  <c r="F161" i="22" s="1"/>
  <c r="F110" i="22"/>
  <c r="F111" i="22" s="1"/>
  <c r="F168" i="22"/>
  <c r="F169" i="22" s="1"/>
  <c r="F118" i="22"/>
  <c r="F119" i="22" s="1"/>
  <c r="F304" i="20"/>
  <c r="F69" i="22"/>
  <c r="F296" i="20"/>
  <c r="F246" i="20"/>
  <c r="F196" i="20"/>
  <c r="F61" i="22" l="1"/>
  <c r="D143" i="20"/>
  <c r="F143" i="20" s="1"/>
  <c r="D142" i="20"/>
  <c r="F142" i="20" s="1"/>
  <c r="D140" i="20"/>
  <c r="F140" i="20" s="1"/>
  <c r="D133" i="20"/>
  <c r="F133" i="20" s="1"/>
  <c r="D132" i="20"/>
  <c r="F132" i="20" s="1"/>
  <c r="D131" i="20"/>
  <c r="F131" i="20" s="1"/>
  <c r="D130" i="20"/>
  <c r="F130" i="20" s="1"/>
  <c r="D129" i="20"/>
  <c r="F129" i="20" s="1"/>
  <c r="D128" i="20"/>
  <c r="F128" i="20" s="1"/>
  <c r="D127" i="20"/>
  <c r="F127" i="20" s="1"/>
  <c r="D125" i="20"/>
  <c r="F125" i="20" s="1"/>
  <c r="D122" i="20"/>
  <c r="F122" i="20" s="1"/>
  <c r="D119" i="20"/>
  <c r="F119" i="20" s="1"/>
  <c r="D116" i="20"/>
  <c r="F116" i="20" s="1"/>
  <c r="D115" i="20"/>
  <c r="F115" i="20" s="1"/>
  <c r="F147" i="20" l="1"/>
  <c r="F155" i="20"/>
  <c r="F106" i="20" l="1"/>
  <c r="D85" i="20" l="1"/>
  <c r="F85" i="20" s="1"/>
  <c r="D75" i="20"/>
  <c r="F75" i="20" s="1"/>
  <c r="D73" i="20"/>
  <c r="F73" i="20" s="1"/>
  <c r="D69" i="20" l="1"/>
  <c r="F69" i="20" s="1"/>
  <c r="D60" i="20" l="1"/>
  <c r="F60" i="20" s="1"/>
  <c r="D59" i="20"/>
  <c r="F59" i="20" s="1"/>
  <c r="D58" i="20"/>
  <c r="F58" i="20" s="1"/>
  <c r="D61" i="20"/>
  <c r="F61" i="20" s="1"/>
  <c r="D57" i="20" l="1"/>
  <c r="F57" i="20" s="1"/>
  <c r="D56" i="20"/>
  <c r="F56" i="20" s="1"/>
  <c r="D45" i="20"/>
  <c r="F45" i="20" s="1"/>
  <c r="D36" i="20" l="1"/>
  <c r="F36" i="20" s="1"/>
  <c r="D55" i="20" l="1"/>
  <c r="F55" i="20" s="1"/>
  <c r="D54" i="20"/>
  <c r="F54" i="20" s="1"/>
  <c r="D37" i="20"/>
  <c r="F37" i="20" s="1"/>
  <c r="D31" i="20"/>
  <c r="F31" i="20" s="1"/>
  <c r="D30" i="20"/>
  <c r="F30" i="20" s="1"/>
  <c r="D17" i="20" l="1"/>
  <c r="F17" i="20" s="1"/>
  <c r="D16" i="20"/>
  <c r="F16" i="20" s="1"/>
  <c r="D20" i="20"/>
  <c r="F20" i="20" s="1"/>
  <c r="C37" i="5"/>
  <c r="B37" i="5"/>
  <c r="B36" i="5"/>
  <c r="Y4" i="5"/>
  <c r="Z4" i="5" s="1"/>
  <c r="AA4" i="5" s="1"/>
  <c r="AB4" i="5" s="1"/>
  <c r="AC4" i="5" s="1"/>
  <c r="AD4" i="5" s="1"/>
  <c r="Y3" i="5"/>
  <c r="Z3" i="5" s="1"/>
  <c r="AA3" i="5" s="1"/>
  <c r="Y33" i="5"/>
  <c r="Z33" i="5" s="1"/>
  <c r="AA33" i="5" s="1"/>
  <c r="Y32" i="5"/>
  <c r="Z32" i="5" s="1"/>
  <c r="AA32" i="5" s="1"/>
  <c r="AB32" i="5" s="1"/>
  <c r="AC32" i="5" s="1"/>
  <c r="AD32" i="5" s="1"/>
  <c r="Y30" i="5"/>
  <c r="Z30" i="5" s="1"/>
  <c r="AA30" i="5" s="1"/>
  <c r="AB30" i="5" s="1"/>
  <c r="AC30" i="5" s="1"/>
  <c r="AD30" i="5" s="1"/>
  <c r="Y29" i="5"/>
  <c r="Z29" i="5" s="1"/>
  <c r="AA29" i="5" s="1"/>
  <c r="AB29" i="5" s="1"/>
  <c r="AC29" i="5" s="1"/>
  <c r="AD29" i="5" s="1"/>
  <c r="Y31" i="5"/>
  <c r="Z31" i="5" s="1"/>
  <c r="AA31" i="5" s="1"/>
  <c r="Y24" i="5"/>
  <c r="Z24" i="5" s="1"/>
  <c r="AA24" i="5" s="1"/>
  <c r="AB24" i="5" s="1"/>
  <c r="AC24" i="5" s="1"/>
  <c r="AD24" i="5" s="1"/>
  <c r="Y27" i="5"/>
  <c r="Z27" i="5" s="1"/>
  <c r="AA27" i="5" s="1"/>
  <c r="Y26" i="5"/>
  <c r="Z26" i="5" s="1"/>
  <c r="AA26" i="5" s="1"/>
  <c r="Y25" i="5"/>
  <c r="Z25" i="5" s="1"/>
  <c r="AA25" i="5" s="1"/>
  <c r="AB25" i="5" s="1"/>
  <c r="AC25" i="5" s="1"/>
  <c r="AD25" i="5" s="1"/>
  <c r="Y28" i="5"/>
  <c r="Z28" i="5" s="1"/>
  <c r="AA28" i="5" s="1"/>
  <c r="Y23" i="5"/>
  <c r="Z23" i="5" s="1"/>
  <c r="AA23" i="5" s="1"/>
  <c r="AB23" i="5" s="1"/>
  <c r="AC23" i="5" s="1"/>
  <c r="AD23" i="5" s="1"/>
  <c r="Y21" i="5"/>
  <c r="Z21" i="5" s="1"/>
  <c r="AA21" i="5" s="1"/>
  <c r="AB21" i="5" s="1"/>
  <c r="AC21" i="5" s="1"/>
  <c r="AD21" i="5" s="1"/>
  <c r="Y20" i="5"/>
  <c r="Z20" i="5" s="1"/>
  <c r="AA20" i="5" s="1"/>
  <c r="AB20" i="5" s="1"/>
  <c r="AC20" i="5" s="1"/>
  <c r="AD20" i="5" s="1"/>
  <c r="Y19" i="5"/>
  <c r="Z19" i="5" s="1"/>
  <c r="AA19" i="5" s="1"/>
  <c r="Y18" i="5"/>
  <c r="Z18" i="5" s="1"/>
  <c r="AA18" i="5" s="1"/>
  <c r="Y22" i="5"/>
  <c r="Z22" i="5" s="1"/>
  <c r="AA22" i="5" s="1"/>
  <c r="AB22" i="5" s="1"/>
  <c r="AC22" i="5" s="1"/>
  <c r="AD22" i="5" s="1"/>
  <c r="AF22" i="5" s="1"/>
  <c r="Y17" i="5"/>
  <c r="Z17" i="5" s="1"/>
  <c r="AA17" i="5" s="1"/>
  <c r="AB17" i="5" s="1"/>
  <c r="AC17" i="5" s="1"/>
  <c r="AD17" i="5" s="1"/>
  <c r="Y16" i="5"/>
  <c r="Z16" i="5" s="1"/>
  <c r="AA16" i="5" s="1"/>
  <c r="Y15" i="5"/>
  <c r="Z15" i="5" s="1"/>
  <c r="AA15" i="5" s="1"/>
  <c r="Y14" i="5"/>
  <c r="Z14" i="5" s="1"/>
  <c r="AA14" i="5" s="1"/>
  <c r="AB14" i="5" s="1"/>
  <c r="AC14" i="5" s="1"/>
  <c r="AD14" i="5" s="1"/>
  <c r="Y13" i="5"/>
  <c r="Z13" i="5" s="1"/>
  <c r="AA13" i="5" s="1"/>
  <c r="AB13" i="5" s="1"/>
  <c r="AC13" i="5" s="1"/>
  <c r="AD13" i="5" s="1"/>
  <c r="Y12" i="5"/>
  <c r="Z12" i="5" s="1"/>
  <c r="AA12" i="5" s="1"/>
  <c r="AB12" i="5" s="1"/>
  <c r="AC12" i="5" s="1"/>
  <c r="AD12" i="5" s="1"/>
  <c r="Y11" i="5"/>
  <c r="Z11" i="5" s="1"/>
  <c r="AA11" i="5" s="1"/>
  <c r="AB11" i="5" s="1"/>
  <c r="AC11" i="5" s="1"/>
  <c r="AD11" i="5" s="1"/>
  <c r="Y10" i="5"/>
  <c r="Z10" i="5" s="1"/>
  <c r="AA10" i="5" s="1"/>
  <c r="Y9" i="5"/>
  <c r="Z9" i="5" s="1"/>
  <c r="AA9" i="5" s="1"/>
  <c r="AB9" i="5" s="1"/>
  <c r="AC9" i="5" s="1"/>
  <c r="Y8" i="5"/>
  <c r="Z8" i="5" s="1"/>
  <c r="AA8" i="5" s="1"/>
  <c r="AB8" i="5" s="1"/>
  <c r="AC8" i="5" s="1"/>
  <c r="Y7" i="5"/>
  <c r="Z7" i="5" s="1"/>
  <c r="AA7" i="5" s="1"/>
  <c r="Y6" i="5"/>
  <c r="Z6" i="5" s="1"/>
  <c r="AA6" i="5" s="1"/>
  <c r="AB6" i="5" s="1"/>
  <c r="AC6" i="5" s="1"/>
  <c r="AD6" i="5" s="1"/>
  <c r="AE6" i="5" s="1"/>
  <c r="Y5" i="5"/>
  <c r="Z5" i="5" s="1"/>
  <c r="AA5" i="5" s="1"/>
  <c r="P9" i="5"/>
  <c r="P8" i="5"/>
  <c r="O8" i="5"/>
  <c r="O9" i="5"/>
  <c r="V84" i="5"/>
  <c r="V83" i="5"/>
  <c r="Y78" i="5"/>
  <c r="X78" i="5"/>
  <c r="W78" i="5"/>
  <c r="AN76" i="5"/>
  <c r="AM76" i="5"/>
  <c r="AL76" i="5"/>
  <c r="AK76" i="5"/>
  <c r="AJ76" i="5"/>
  <c r="AI76" i="5"/>
  <c r="AN75" i="5"/>
  <c r="AM75" i="5"/>
  <c r="AL75" i="5"/>
  <c r="AK75" i="5"/>
  <c r="AJ75" i="5"/>
  <c r="AI75" i="5"/>
  <c r="AH75" i="5"/>
  <c r="AG75" i="5"/>
  <c r="AF75" i="5"/>
  <c r="AE75" i="5"/>
  <c r="AD75" i="5"/>
  <c r="AC75" i="5"/>
  <c r="AB75" i="5"/>
  <c r="AA75" i="5"/>
  <c r="Z75" i="5"/>
  <c r="Y75" i="5"/>
  <c r="X75" i="5"/>
  <c r="W75" i="5"/>
  <c r="W57" i="5"/>
  <c r="V57" i="5"/>
  <c r="T57" i="5"/>
  <c r="AN81" i="5" s="1"/>
  <c r="S57" i="5"/>
  <c r="AN80" i="5" s="1"/>
  <c r="W56" i="5"/>
  <c r="V56" i="5"/>
  <c r="T56" i="5"/>
  <c r="AM81" i="5" s="1"/>
  <c r="S56" i="5"/>
  <c r="AM80" i="5" s="1"/>
  <c r="W55" i="5"/>
  <c r="V55" i="5"/>
  <c r="T55" i="5"/>
  <c r="AL81" i="5" s="1"/>
  <c r="S55" i="5"/>
  <c r="AL80" i="5" s="1"/>
  <c r="W54" i="5"/>
  <c r="V54" i="5"/>
  <c r="T54" i="5"/>
  <c r="AK81" i="5" s="1"/>
  <c r="S54" i="5"/>
  <c r="AK80" i="5" s="1"/>
  <c r="W53" i="5"/>
  <c r="V53" i="5"/>
  <c r="T53" i="5"/>
  <c r="AJ81" i="5" s="1"/>
  <c r="S53" i="5"/>
  <c r="AJ80" i="5" s="1"/>
  <c r="W52" i="5"/>
  <c r="V52" i="5"/>
  <c r="T52" i="5"/>
  <c r="AI81" i="5" s="1"/>
  <c r="S52" i="5"/>
  <c r="AI80" i="5" s="1"/>
  <c r="W51" i="5"/>
  <c r="V51" i="5"/>
  <c r="T51" i="5"/>
  <c r="AH81" i="5" s="1"/>
  <c r="S51" i="5"/>
  <c r="AH80" i="5" s="1"/>
  <c r="W50" i="5"/>
  <c r="V50" i="5"/>
  <c r="T50" i="5"/>
  <c r="AG81" i="5" s="1"/>
  <c r="S50" i="5"/>
  <c r="AG80" i="5" s="1"/>
  <c r="W49" i="5"/>
  <c r="V49" i="5"/>
  <c r="T49" i="5"/>
  <c r="AF81" i="5" s="1"/>
  <c r="S49" i="5"/>
  <c r="AF80" i="5" s="1"/>
  <c r="W48" i="5"/>
  <c r="V48" i="5"/>
  <c r="T48" i="5"/>
  <c r="AE81" i="5" s="1"/>
  <c r="S48" i="5"/>
  <c r="AE80" i="5" s="1"/>
  <c r="W47" i="5"/>
  <c r="V47" i="5"/>
  <c r="T47" i="5"/>
  <c r="AD81" i="5" s="1"/>
  <c r="S47" i="5"/>
  <c r="AD80" i="5" s="1"/>
  <c r="W46" i="5"/>
  <c r="V46" i="5"/>
  <c r="T46" i="5"/>
  <c r="AC81" i="5" s="1"/>
  <c r="S46" i="5"/>
  <c r="AC80" i="5" s="1"/>
  <c r="W45" i="5"/>
  <c r="V45" i="5"/>
  <c r="T45" i="5"/>
  <c r="AB81" i="5" s="1"/>
  <c r="S45" i="5"/>
  <c r="AB80" i="5" s="1"/>
  <c r="W44" i="5"/>
  <c r="V44" i="5"/>
  <c r="T44" i="5"/>
  <c r="S44" i="5"/>
  <c r="AA80" i="5" s="1"/>
  <c r="W43" i="5"/>
  <c r="V43" i="5"/>
  <c r="T43" i="5"/>
  <c r="W62" i="5" s="1"/>
  <c r="S43" i="5"/>
  <c r="Z80" i="5" s="1"/>
  <c r="AC40" i="5"/>
  <c r="AC39" i="5"/>
  <c r="F98" i="20" l="1"/>
  <c r="AD9" i="5"/>
  <c r="AE9" i="5" s="1"/>
  <c r="AB7" i="5"/>
  <c r="AC7" i="5" s="1"/>
  <c r="AD7" i="5" s="1"/>
  <c r="AF7" i="5" s="1"/>
  <c r="AD8" i="5"/>
  <c r="AF8" i="5" s="1"/>
  <c r="W58" i="5"/>
  <c r="Z81" i="5"/>
  <c r="W84" i="5"/>
  <c r="X84" i="5" s="1"/>
  <c r="Y84" i="5" s="1"/>
  <c r="V58" i="5"/>
  <c r="B38" i="5"/>
  <c r="AB18" i="5"/>
  <c r="AC18" i="5" s="1"/>
  <c r="AD18" i="5" s="1"/>
  <c r="AF18" i="5" s="1"/>
  <c r="F90" i="20"/>
  <c r="AB33" i="5"/>
  <c r="AC33" i="5" s="1"/>
  <c r="AD33" i="5" s="1"/>
  <c r="AE33" i="5" s="1"/>
  <c r="AB5" i="5"/>
  <c r="AC5" i="5" s="1"/>
  <c r="AD5" i="5" s="1"/>
  <c r="AF5" i="5" s="1"/>
  <c r="W63" i="5"/>
  <c r="W64" i="5" s="1"/>
  <c r="W65" i="5" s="1"/>
  <c r="W66" i="5" s="1"/>
  <c r="W67" i="5" s="1"/>
  <c r="W68" i="5" s="1"/>
  <c r="W69" i="5" s="1"/>
  <c r="W70" i="5" s="1"/>
  <c r="AB10" i="5"/>
  <c r="AC10" i="5" s="1"/>
  <c r="AD10" i="5" s="1"/>
  <c r="AF10" i="5" s="1"/>
  <c r="C36" i="5"/>
  <c r="C38" i="5" s="1"/>
  <c r="AB31" i="5"/>
  <c r="AC31" i="5" s="1"/>
  <c r="AD31" i="5" s="1"/>
  <c r="AF31" i="5" s="1"/>
  <c r="V62" i="5"/>
  <c r="V63" i="5" s="1"/>
  <c r="V64" i="5" s="1"/>
  <c r="V65" i="5" s="1"/>
  <c r="V66" i="5" s="1"/>
  <c r="V67" i="5" s="1"/>
  <c r="V68" i="5" s="1"/>
  <c r="V69" i="5" s="1"/>
  <c r="V70" i="5" s="1"/>
  <c r="W83" i="5"/>
  <c r="X83" i="5" s="1"/>
  <c r="Y83" i="5" s="1"/>
  <c r="Z83" i="5" s="1"/>
  <c r="AA83" i="5" s="1"/>
  <c r="AB83" i="5" s="1"/>
  <c r="AC83" i="5" s="1"/>
  <c r="AD83" i="5" s="1"/>
  <c r="AE83" i="5" s="1"/>
  <c r="AF83" i="5" s="1"/>
  <c r="AG83" i="5" s="1"/>
  <c r="AH83" i="5" s="1"/>
  <c r="AI83" i="5" s="1"/>
  <c r="AJ83" i="5" s="1"/>
  <c r="AK83" i="5" s="1"/>
  <c r="AL83" i="5" s="1"/>
  <c r="AM83" i="5" s="1"/>
  <c r="AN83" i="5" s="1"/>
  <c r="AB16" i="5"/>
  <c r="AC16" i="5" s="1"/>
  <c r="AD16" i="5" s="1"/>
  <c r="AF16" i="5" s="1"/>
  <c r="AF32" i="5"/>
  <c r="AE32" i="5"/>
  <c r="AE23" i="5"/>
  <c r="AF23" i="5"/>
  <c r="AF29" i="5"/>
  <c r="AE29" i="5"/>
  <c r="AF13" i="5"/>
  <c r="AE13" i="5"/>
  <c r="AE4" i="5"/>
  <c r="AF4" i="5"/>
  <c r="AF25" i="5"/>
  <c r="AE25" i="5"/>
  <c r="AE14" i="5"/>
  <c r="AF14" i="5"/>
  <c r="AE30" i="5"/>
  <c r="AF30" i="5"/>
  <c r="AB26" i="5"/>
  <c r="AC26" i="5" s="1"/>
  <c r="AD26" i="5" s="1"/>
  <c r="AB19" i="5"/>
  <c r="AC19" i="5" s="1"/>
  <c r="AD19" i="5" s="1"/>
  <c r="AF21" i="5"/>
  <c r="AE21" i="5"/>
  <c r="AF20" i="5"/>
  <c r="AE20" i="5"/>
  <c r="AF24" i="5"/>
  <c r="AE24" i="5"/>
  <c r="AF11" i="5"/>
  <c r="AE11" i="5"/>
  <c r="AF17" i="5"/>
  <c r="AE17" i="5"/>
  <c r="AF12" i="5"/>
  <c r="AE12" i="5"/>
  <c r="AE22" i="5"/>
  <c r="AB3" i="5"/>
  <c r="AC3" i="5" s="1"/>
  <c r="AD3" i="5" s="1"/>
  <c r="AB15" i="5"/>
  <c r="AC15" i="5" s="1"/>
  <c r="AD15" i="5" s="1"/>
  <c r="AA81" i="5"/>
  <c r="AB27" i="5"/>
  <c r="AC27" i="5" s="1"/>
  <c r="AD27" i="5" s="1"/>
  <c r="T58" i="5"/>
  <c r="AB28" i="5"/>
  <c r="AC28" i="5" s="1"/>
  <c r="AD28" i="5" s="1"/>
  <c r="AF6" i="5"/>
  <c r="S58" i="5"/>
  <c r="AE8" i="5" l="1"/>
  <c r="AF9" i="5"/>
  <c r="AE7" i="5"/>
  <c r="AE16" i="5"/>
  <c r="AF33" i="5"/>
  <c r="AE5" i="5"/>
  <c r="Z84" i="5"/>
  <c r="AA84" i="5" s="1"/>
  <c r="AB84" i="5" s="1"/>
  <c r="AC84" i="5" s="1"/>
  <c r="AD84" i="5" s="1"/>
  <c r="AE84" i="5" s="1"/>
  <c r="AF84" i="5" s="1"/>
  <c r="AG84" i="5" s="1"/>
  <c r="AH84" i="5" s="1"/>
  <c r="AI84" i="5" s="1"/>
  <c r="AJ84" i="5" s="1"/>
  <c r="AK84" i="5" s="1"/>
  <c r="AL84" i="5" s="1"/>
  <c r="AM84" i="5" s="1"/>
  <c r="AN84" i="5" s="1"/>
  <c r="AE18" i="5"/>
  <c r="AE31" i="5"/>
  <c r="AE10" i="5"/>
  <c r="AF27" i="5"/>
  <c r="AE27" i="5"/>
  <c r="AE15" i="5"/>
  <c r="AF15" i="5"/>
  <c r="AF19" i="5"/>
  <c r="AE19" i="5"/>
  <c r="AF26" i="5"/>
  <c r="AE26" i="5"/>
  <c r="AF28" i="5"/>
  <c r="AE28" i="5"/>
  <c r="AE3" i="5"/>
  <c r="AF3" i="5"/>
</calcChain>
</file>

<file path=xl/comments1.xml><?xml version="1.0" encoding="utf-8"?>
<comments xmlns="http://schemas.openxmlformats.org/spreadsheetml/2006/main">
  <authors>
    <author>Khafizov Aydar</author>
  </authors>
  <commentList>
    <comment ref="C7" authorId="0" shapeId="0">
      <text>
        <r>
          <rPr>
            <b/>
            <sz val="9"/>
            <color indexed="81"/>
            <rFont val="Tahoma"/>
            <family val="2"/>
            <charset val="204"/>
          </rPr>
          <t>Khafizov Aydar:</t>
        </r>
        <r>
          <rPr>
            <sz val="9"/>
            <color indexed="81"/>
            <rFont val="Tahoma"/>
            <family val="2"/>
            <charset val="204"/>
          </rPr>
          <t xml:space="preserve">
В случае, если останутся модули от экспорта и будут офорлмены ЗУ и ТП - есть авариант строительства в 2018 г.</t>
        </r>
      </text>
    </comment>
  </commentList>
</comments>
</file>

<file path=xl/sharedStrings.xml><?xml version="1.0" encoding="utf-8"?>
<sst xmlns="http://schemas.openxmlformats.org/spreadsheetml/2006/main" count="1620" uniqueCount="617">
  <si>
    <t>Начало строительства</t>
  </si>
  <si>
    <t>Статус по ЗУ</t>
  </si>
  <si>
    <t>Статус по ТП</t>
  </si>
  <si>
    <t>?</t>
  </si>
  <si>
    <t>АСТ - Саратовская СЭС-4</t>
  </si>
  <si>
    <t>Наименование проекта</t>
  </si>
  <si>
    <t>Код ГТП</t>
  </si>
  <si>
    <t>Руст</t>
  </si>
  <si>
    <t>GVIE0252</t>
  </si>
  <si>
    <t>Республика Башкортостан</t>
  </si>
  <si>
    <t>Оренбургская область</t>
  </si>
  <si>
    <t>Саратовская область</t>
  </si>
  <si>
    <t>Республика Бурятия</t>
  </si>
  <si>
    <t>Республика Калмыкия</t>
  </si>
  <si>
    <t>да</t>
  </si>
  <si>
    <t>нет</t>
  </si>
  <si>
    <r>
      <t xml:space="preserve">Крайняя дата 
</t>
    </r>
    <r>
      <rPr>
        <sz val="8"/>
        <color theme="1"/>
        <rFont val="Calibri"/>
        <family val="2"/>
        <charset val="204"/>
        <scheme val="minor"/>
      </rPr>
      <t>(с учетом грейс 
+24м просрочки)</t>
    </r>
  </si>
  <si>
    <t>Дата 
по ДПМ ВИЭ</t>
  </si>
  <si>
    <t>ОПВ</t>
  </si>
  <si>
    <t>Субъект РФ ДПМ</t>
  </si>
  <si>
    <t>Возм-сть грейс</t>
  </si>
  <si>
    <t>Тип СМ</t>
  </si>
  <si>
    <t>Примечание</t>
  </si>
  <si>
    <t>Чесменская СЭС</t>
  </si>
  <si>
    <t>Бородиновская СЭС</t>
  </si>
  <si>
    <t>Заря СЭС</t>
  </si>
  <si>
    <t>Челябинская область</t>
  </si>
  <si>
    <t>Иркутская область</t>
  </si>
  <si>
    <t>GVIE0340</t>
  </si>
  <si>
    <t>GVIE0343</t>
  </si>
  <si>
    <t>GVIE0349</t>
  </si>
  <si>
    <t>из них со штрафом</t>
  </si>
  <si>
    <t>Итого срок действия ДПМ ВИЭ</t>
  </si>
  <si>
    <t>Мес.без оплаты ДПМ ВИЭ</t>
  </si>
  <si>
    <t>АСТ</t>
  </si>
  <si>
    <t>хит</t>
  </si>
  <si>
    <t>хелиос</t>
  </si>
  <si>
    <t>ГЭР</t>
  </si>
  <si>
    <t>Переволоцкая СЭС (2 очередь)</t>
  </si>
  <si>
    <t>АСТ - Оренбургская СЭС-8</t>
  </si>
  <si>
    <t>АСТ - Алтайская СЭС-3</t>
  </si>
  <si>
    <t>АСТ - Алтайская СЭС-7</t>
  </si>
  <si>
    <t>АСТ - Омская СЭС-1</t>
  </si>
  <si>
    <t>АСТ - Омская СЭС-2</t>
  </si>
  <si>
    <t>Чебеньковская СЭС</t>
  </si>
  <si>
    <t>Бурибаевская СЭС-3</t>
  </si>
  <si>
    <t>СЭС Дергачевская</t>
  </si>
  <si>
    <t>СЭС Алейская</t>
  </si>
  <si>
    <t>СЭС Окино-Ключи</t>
  </si>
  <si>
    <t>СЭС Нововаршавская</t>
  </si>
  <si>
    <t>СЭС Русская поляна</t>
  </si>
  <si>
    <t>СЭС Алгайская</t>
  </si>
  <si>
    <t>СЭС Акъяр</t>
  </si>
  <si>
    <t>СЭС Удинская-1</t>
  </si>
  <si>
    <t>СЭС Удинская-2</t>
  </si>
  <si>
    <t>СЭС Агинская</t>
  </si>
  <si>
    <t>СЭС Городская</t>
  </si>
  <si>
    <t>СЭС Павлоградская</t>
  </si>
  <si>
    <t>СЭС Котово</t>
  </si>
  <si>
    <t>СЭС Шильдинская</t>
  </si>
  <si>
    <t>СЭС Борзя Западная</t>
  </si>
  <si>
    <t>СЭС Курьинская</t>
  </si>
  <si>
    <t>Алтайский край</t>
  </si>
  <si>
    <t>Омская область</t>
  </si>
  <si>
    <t>Забайкальский край</t>
  </si>
  <si>
    <t xml:space="preserve">Волгоградская область </t>
  </si>
  <si>
    <t>GVIE0429</t>
  </si>
  <si>
    <t>GVIE0428</t>
  </si>
  <si>
    <t>GVIE0425</t>
  </si>
  <si>
    <t>GVIE0426</t>
  </si>
  <si>
    <t>GVIE0427</t>
  </si>
  <si>
    <t>GVIE0417</t>
  </si>
  <si>
    <t>GVIE0602</t>
  </si>
  <si>
    <t>GVIE0603</t>
  </si>
  <si>
    <t>GVIE0695</t>
  </si>
  <si>
    <t>GVIE0694</t>
  </si>
  <si>
    <t>GVIE0681</t>
  </si>
  <si>
    <t>GVIE0671</t>
  </si>
  <si>
    <t>GVIE0682</t>
  </si>
  <si>
    <t>GVIE0683</t>
  </si>
  <si>
    <t>GVIE0680</t>
  </si>
  <si>
    <t>GVIE0678</t>
  </si>
  <si>
    <t>GVIE0677</t>
  </si>
  <si>
    <t>GVIE0676</t>
  </si>
  <si>
    <t>GVIE0691</t>
  </si>
  <si>
    <t>GVIE0688</t>
  </si>
  <si>
    <t>GVIE0689</t>
  </si>
  <si>
    <t>GVIE0679</t>
  </si>
  <si>
    <t>GVIE0690</t>
  </si>
  <si>
    <t>GVIE0687</t>
  </si>
  <si>
    <t>Дата оформления Договора ТП</t>
  </si>
  <si>
    <t>Уровень напряжения, кВ</t>
  </si>
  <si>
    <t>Удаленность ЗУ 
от ПС/дороги, км</t>
  </si>
  <si>
    <t>ЮЛ ДПМ</t>
  </si>
  <si>
    <t>Заказчик по ГенПодряду</t>
  </si>
  <si>
    <r>
      <t xml:space="preserve">Период стройки
</t>
    </r>
    <r>
      <rPr>
        <sz val="9"/>
        <color theme="1"/>
        <rFont val="Calibri"/>
        <family val="2"/>
        <charset val="204"/>
        <scheme val="minor"/>
      </rPr>
      <t>(зима/лето/весна/осень)</t>
    </r>
  </si>
  <si>
    <t>Мин.компл для банка до</t>
  </si>
  <si>
    <t>Уточненное место размещения</t>
  </si>
  <si>
    <t>Место размещения (Субъект РФ)</t>
  </si>
  <si>
    <t>Объект (Руст)</t>
  </si>
  <si>
    <t>Год строительства</t>
  </si>
  <si>
    <t>Завершение монтажа ФЭМ</t>
  </si>
  <si>
    <t>Завершение строительства без ФЭМ</t>
  </si>
  <si>
    <t>Ввод объекта в эксплуатацию</t>
  </si>
  <si>
    <t>Готовность к поставке мощности</t>
  </si>
  <si>
    <r>
      <t xml:space="preserve">Плановая дата
</t>
    </r>
    <r>
      <rPr>
        <sz val="8"/>
        <color theme="1"/>
        <rFont val="Calibri"/>
        <family val="2"/>
        <charset val="204"/>
        <scheme val="minor"/>
      </rPr>
      <t>(норма 2.5-3 м после ввода в экспл)</t>
    </r>
  </si>
  <si>
    <t>Всего</t>
  </si>
  <si>
    <t>Итого</t>
  </si>
  <si>
    <t>Остаток</t>
  </si>
  <si>
    <t>Договор на ТП подписан</t>
  </si>
  <si>
    <t>Перенос даты на 12 месяцев (без штрафа)
Вопрос о переносе региона решить после изменения даты, но не позднее 01.09.2018. Перенос региона.</t>
  </si>
  <si>
    <t>янв</t>
  </si>
  <si>
    <t>фев</t>
  </si>
  <si>
    <t>мар</t>
  </si>
  <si>
    <t>апр</t>
  </si>
  <si>
    <t>май</t>
  </si>
  <si>
    <t>июн</t>
  </si>
  <si>
    <t>июл</t>
  </si>
  <si>
    <t>авг</t>
  </si>
  <si>
    <t>сен</t>
  </si>
  <si>
    <t>окт</t>
  </si>
  <si>
    <t>ноя</t>
  </si>
  <si>
    <t>дек</t>
  </si>
  <si>
    <t>тплюс хит</t>
  </si>
  <si>
    <t>сэс хелиос</t>
  </si>
  <si>
    <t>сэс хит</t>
  </si>
  <si>
    <t>Участок -бывший аэродром, в ведении Росимущества, в наст. Время идет работа по передаче муниципалитету.</t>
  </si>
  <si>
    <t>Договор аренды ЗУ оформлен, формируется участок под подъездную дорогу</t>
  </si>
  <si>
    <t>Бурибаевская СЭС-3 25 МВт</t>
  </si>
  <si>
    <t>поселок Переволоцкий</t>
  </si>
  <si>
    <t>Джидинский район</t>
  </si>
  <si>
    <t>Срок поставки СМ по Балансу ФЭМ</t>
  </si>
  <si>
    <t>Срок поставки СМ не позднее</t>
  </si>
  <si>
    <t>№</t>
  </si>
  <si>
    <t>Участок выбран, сформирован, формируется договор аренды ЗУ</t>
  </si>
  <si>
    <t>GVIE0836</t>
  </si>
  <si>
    <t>СЭС-2018-3 Элистинская СЭС-1</t>
  </si>
  <si>
    <t>Чемальская СЭС 10 МВт</t>
  </si>
  <si>
    <t>Республика Алтай</t>
  </si>
  <si>
    <t xml:space="preserve"> Участок сформирован, ведутся работы по изменению ВРИ</t>
  </si>
  <si>
    <t>Участок выбран, формируется</t>
  </si>
  <si>
    <t>GVIE0825</t>
  </si>
  <si>
    <t>GVIE0824</t>
  </si>
  <si>
    <t>с. Амур Усть-Коксинский район</t>
  </si>
  <si>
    <t>Перенос региона выполнен</t>
  </si>
  <si>
    <t>Договор аренды ЗУ оформлен, ведестя работа по снижению кадастровой стоимости, изменению конфигурации</t>
  </si>
  <si>
    <t xml:space="preserve"> Участок сформирован, ведутся работы по изменению категории</t>
  </si>
  <si>
    <t>Договор аренды ЗУ оформлен, оформляется участок под подъездную дорогу</t>
  </si>
  <si>
    <t>2021</t>
  </si>
  <si>
    <t>2022</t>
  </si>
  <si>
    <t>Перенос даты выполнен.
Вопрос о переносе региона решить после изменения даты, но не позднее 01.09.2018. Перенос региона.</t>
  </si>
  <si>
    <t>Требуется перенос региона</t>
  </si>
  <si>
    <t>Количество проектов</t>
  </si>
  <si>
    <t>Суммарная мощность</t>
  </si>
  <si>
    <t>Перечень проектов АСТ и ГЭР с началом строительства в 2019-2020 годах</t>
  </si>
  <si>
    <t>Элистинская СЭС  (Калмыкская СЭС-2) 45 МВт</t>
  </si>
  <si>
    <t>Усть-Канская СЭС-2 25 МВт</t>
  </si>
  <si>
    <t>Чита/Кызыл</t>
  </si>
  <si>
    <t>Усть-Коксинская СЭС 40 МВт</t>
  </si>
  <si>
    <t>Астраханская область</t>
  </si>
  <si>
    <t>Хоринский район, с. Хоринск</t>
  </si>
  <si>
    <t>с. Домбаровка, Домбаровского района</t>
  </si>
  <si>
    <t>с. Малые Дербеты Малодербетовского района</t>
  </si>
  <si>
    <t>пгт Лиман</t>
  </si>
  <si>
    <t>с. Иня, Онгудайский район</t>
  </si>
  <si>
    <t>Республики Алтай</t>
  </si>
  <si>
    <t>с. Анос, Чемальский район</t>
  </si>
  <si>
    <t>г. Элиста, Элистинский район</t>
  </si>
  <si>
    <t xml:space="preserve"> с. Бурибай, Хайбуллинский район</t>
  </si>
  <si>
    <t>Дергачёвская СЭС  60 МВт</t>
  </si>
  <si>
    <t>п.г.т. Дергачи, Дергачевский район</t>
  </si>
  <si>
    <t>Малодербетовская СЭС 38,5 МВт</t>
  </si>
  <si>
    <t>Лиманская СЭС 30 МВт</t>
  </si>
  <si>
    <t>Хоринская СЭС 15 МВт</t>
  </si>
  <si>
    <t>Переволоцкая СЭС-2 10 МВт</t>
  </si>
  <si>
    <t>Домбаровская СЭС 25 МВт</t>
  </si>
  <si>
    <t>Ининская СЭС-2 15 МВт</t>
  </si>
  <si>
    <t>с. Усть-Кан, Усть-Канский район</t>
  </si>
  <si>
    <t xml:space="preserve"> Республика Алтай</t>
  </si>
  <si>
    <t>с. Нижний Торей, Джидинский район</t>
  </si>
  <si>
    <t>Торейская СЭС 50 МВт</t>
  </si>
  <si>
    <t>Торейская СЭС 50 МВт (1 очередь 20 МВт)</t>
  </si>
  <si>
    <t>Торейская СЭС 50 МВт (2 очередь  15 МВт)</t>
  </si>
  <si>
    <t>Торейская СЭС 50 МВт (3 очередь  15 МВт)</t>
  </si>
  <si>
    <t>Яшкульская СЭС 50 МВт</t>
  </si>
  <si>
    <t>Яшкульская СЭС 50 МВт (1 очередь 20 МВт)</t>
  </si>
  <si>
    <t>Яшкульская СЭС 50 МВт (2 очередь 15 МВт)</t>
  </si>
  <si>
    <t>Яшкульская СЭС 50 МВт (3 очередь 15 МВт)</t>
  </si>
  <si>
    <t>п. Яшкуль, Яшкульский район</t>
  </si>
  <si>
    <t>Джидинская СЭС 30 МВт</t>
  </si>
  <si>
    <t>Читниская /Тывинская СЭС 20 МВт</t>
  </si>
  <si>
    <t>Возможно потребуется перенос региона</t>
  </si>
  <si>
    <t>Забайкальский край/Республика Тыва</t>
  </si>
  <si>
    <t>Павлоградская СЭС 20 МВт</t>
  </si>
  <si>
    <t>Курьинская СЭС 30 МВт</t>
  </si>
  <si>
    <t>с. Курья, Курьинский район</t>
  </si>
  <si>
    <t>Бурибаевская СЭС (3 очередь) 25 МВт</t>
  </si>
  <si>
    <t>Усть-канская СЭС (2 очередь) 25 МВт</t>
  </si>
  <si>
    <t>Малодербетовская СЭС 38,5 МВт (1 очередь  15 МВт)</t>
  </si>
  <si>
    <t>Малодербетовская СЭС 38,5 МВт (2 очередь  23,5 МВт)</t>
  </si>
  <si>
    <t>Лиманская СЭС 30 МВт (1 очередь 15 МВт)</t>
  </si>
  <si>
    <t>Лиманская СЭС 30 МВт (2 очередь 15 МВт)</t>
  </si>
  <si>
    <t>Переволоцкая СЭС (2 очередь 10 МВт)</t>
  </si>
  <si>
    <t>Ининская СЭС (2 очередь 15 МВт)</t>
  </si>
  <si>
    <t>Усть-Коксинская СЭС 40 МВт (1 очередь 10 МВт)</t>
  </si>
  <si>
    <t>Усть-Коксинская СЭС 40 МВт (2 очередь 10 МВт)</t>
  </si>
  <si>
    <t>Усть-Коксинская СЭС 40 МВт (3 очередь 15 МВт)</t>
  </si>
  <si>
    <t>Усть-Коксинская СЭС 40 МВт (4 очередь 5 МВт)</t>
  </si>
  <si>
    <t>Джидинская СЭС 30 МВт (1 очередь 15 МВт)</t>
  </si>
  <si>
    <t>Джидинская СЭС 30 МВт (2 очередь 15 МВт)</t>
  </si>
  <si>
    <t>Курьинская СЭС 30 МВт (1 очередь 15 МВт)</t>
  </si>
  <si>
    <t>Курьинская СЭС 30 МВт (2 очередь 15 МВт)</t>
  </si>
  <si>
    <t>Наименование объекта 
(для каждого объекта выпускается свой
комплект ПД и РД)</t>
  </si>
  <si>
    <t>СЭС-2018-2 Усть-Коксинская СЭС-4</t>
  </si>
  <si>
    <t>СЭС-2018-1 Чемальская СЭС</t>
  </si>
  <si>
    <t>Дергачёвская СЭС 60 МВт (1 очередь 25 МВт)</t>
  </si>
  <si>
    <t>Дергачёвская СЭС  60 МВт (2 очередь 15 МВт)</t>
  </si>
  <si>
    <t>Дергачёвская СЭС  60 МВт (3 очередь 20 МВт)</t>
  </si>
  <si>
    <t>Сводный график стоимости и сроков выполнения Работ</t>
  </si>
  <si>
    <t xml:space="preserve">№ </t>
  </si>
  <si>
    <t>Наименование  работ и затрат</t>
  </si>
  <si>
    <t xml:space="preserve">Стоимость  выполнения работ </t>
  </si>
  <si>
    <t>ед.изм.</t>
  </si>
  <si>
    <t>кол-во</t>
  </si>
  <si>
    <t>Этап 1.</t>
  </si>
  <si>
    <t>м.кв.</t>
  </si>
  <si>
    <t>комплекс</t>
  </si>
  <si>
    <t>га</t>
  </si>
  <si>
    <t>шт</t>
  </si>
  <si>
    <t>шт.</t>
  </si>
  <si>
    <t>км</t>
  </si>
  <si>
    <t>Монтаж кабельной продукции, согласно РД.</t>
  </si>
  <si>
    <t>18</t>
  </si>
  <si>
    <t>19</t>
  </si>
  <si>
    <t>20</t>
  </si>
  <si>
    <t>21</t>
  </si>
  <si>
    <t>24</t>
  </si>
  <si>
    <t>25</t>
  </si>
  <si>
    <t>27</t>
  </si>
  <si>
    <t>28</t>
  </si>
  <si>
    <t xml:space="preserve">Физические объемы </t>
  </si>
  <si>
    <t>1</t>
  </si>
  <si>
    <t>2</t>
  </si>
  <si>
    <t>к-т</t>
  </si>
  <si>
    <t>30</t>
  </si>
  <si>
    <t>17</t>
  </si>
  <si>
    <t>Физические объемы</t>
  </si>
  <si>
    <t>НДС 20%</t>
  </si>
  <si>
    <t>14</t>
  </si>
  <si>
    <t>3</t>
  </si>
  <si>
    <t>4</t>
  </si>
  <si>
    <t>5</t>
  </si>
  <si>
    <t>10</t>
  </si>
  <si>
    <t>11</t>
  </si>
  <si>
    <t>13</t>
  </si>
  <si>
    <t>13.1</t>
  </si>
  <si>
    <t>13.2</t>
  </si>
  <si>
    <t>31</t>
  </si>
  <si>
    <t>Организация ПТО на объекте в соответствии с требованиями ТЗ на СМР на весь период строительства</t>
  </si>
  <si>
    <t>компл.</t>
  </si>
  <si>
    <t>месяц</t>
  </si>
  <si>
    <t>Устройство склада временного хранения (СВХ) на стройплощадке в т.ч. Охрана (Приложение №4.1, ТЗ на СМР)</t>
  </si>
  <si>
    <t>6.1</t>
  </si>
  <si>
    <t xml:space="preserve">Монтаж, устройство фундаментов под модульные здания, изготовление металлоконструкций: </t>
  </si>
  <si>
    <t>14.1</t>
  </si>
  <si>
    <t>14.2</t>
  </si>
  <si>
    <t>п.м.</t>
  </si>
  <si>
    <t>9</t>
  </si>
  <si>
    <t>11.2</t>
  </si>
  <si>
    <t>15</t>
  </si>
  <si>
    <t>22</t>
  </si>
  <si>
    <t>23</t>
  </si>
  <si>
    <t>29</t>
  </si>
  <si>
    <t>32</t>
  </si>
  <si>
    <t>Монтаж столов под фотоэлектрические модули в т.ч. фундамент:</t>
  </si>
  <si>
    <t>7.1</t>
  </si>
  <si>
    <t>8</t>
  </si>
  <si>
    <t>6</t>
  </si>
  <si>
    <t>Монтаж ОПУ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</si>
  <si>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Монтаж электротехнического оборудования и модульных зданий:</t>
  </si>
  <si>
    <t>м2</t>
  </si>
  <si>
    <t xml:space="preserve"> Объект "Элистинская СЭС 115,6 МВт. I пусковой комплекс 78 МВт (1 этап – 18 МВт)"</t>
  </si>
  <si>
    <t xml:space="preserve"> Объект "Элистинская СЭС 115,6 МВт. I пусковой комплекс 78 МВт (2 этап – 15 МВт)"</t>
  </si>
  <si>
    <t xml:space="preserve"> Объект "Элистинская СЭС 115,6 МВт. I пусковой комплекс 78 МВт (4 этап – 15 МВт)"</t>
  </si>
  <si>
    <t xml:space="preserve"> Объект "Элистинская СЭС 115,6 МВт. I пусковой комплекс 78 МВт (5 этап – 15 МВт)"</t>
  </si>
  <si>
    <t>II пусковой комплекс 37,6 МВт (1 этап – 15 МВт, 2 этап – 17 МВт, 3 этап – 5,6 МВт)</t>
  </si>
  <si>
    <t>Этап 3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</si>
  <si>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 этап Монтаж стрингового инвертора</t>
  </si>
  <si>
    <t>2 этап Монтаж стрингового инвертора</t>
  </si>
  <si>
    <t>3 этап Монтаж стрингового инвертора</t>
  </si>
  <si>
    <t>4 этап Монтаж стрингового инвертора</t>
  </si>
  <si>
    <t>5 этап Монтаж стрингового инвертора</t>
  </si>
  <si>
    <t>Монтаж ЗРУ-1 35 кВ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</si>
  <si>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 этап Монтаж и расключение штекерного разъема Y-коннектора (1 шт.) и подключаемых к нему МС-коннекторов (3 шт.)</t>
  </si>
  <si>
    <t>2 этап Монтаж и расключение штекерного разъема Y-коннектора (1 шт.) и подключаемых к нему МС-коннекторов (3 шт.)</t>
  </si>
  <si>
    <t>3 этап Монтаж и расключение штекерного разъема Y-коннектора (1 шт.) и подключаемых к нему МС-коннекторов (3 шт.)</t>
  </si>
  <si>
    <t>4 этап Монтаж и расключение штекерного разъема Y-коннектора (1 шт.) и подключаемых к нему МС-коннекторов (3 шт.)</t>
  </si>
  <si>
    <t>5 этап Монтаж и расключение штекерного разъема Y-коннектора (1 шт.) и подключаемых к нему МС-коннекторов (3 шт.)</t>
  </si>
  <si>
    <t>1 этап Устройство электроснабжения для строительного городка для нужд СМР, проведения строительно-монтажных и пуско-наладочных работ работ силами Подрядчика и смежных организаций участвующих в строительстве СЭС мощностью не менее 100 кВт, включая монтаж временного узла учета (при необходимости), прокладку кабеля до строительного городка, а также поставку необходимого оборудования и материалов (ТЗ на СМР).</t>
  </si>
  <si>
    <t>Итого по Этапу 1:</t>
  </si>
  <si>
    <t>Итого по Этапу 1 с НДС:</t>
  </si>
  <si>
    <t>Этап 2</t>
  </si>
  <si>
    <t>Этап 3</t>
  </si>
  <si>
    <t>кв.м</t>
  </si>
  <si>
    <t>1 этап Пуско-наладочные работы СЭС (включая высоковольтные испытания), в т.ч. СОП</t>
  </si>
  <si>
    <t>2 этап Пуско-наладочные работы СЭС (включая высоковольтные испытания), в т.ч. СОП</t>
  </si>
  <si>
    <t>3 этап Пуско-наладочные работы СЭС (включая высоковольтные испытания), в т.ч. СОП</t>
  </si>
  <si>
    <t>4 этап Пуско-наладочные работы СЭС (включая высоковольтные испытания), в т.ч. СОП</t>
  </si>
  <si>
    <t>5 этап Пуско-наладочные работы СЭС (включая высоковольтные испытания), в т.ч. СОП</t>
  </si>
  <si>
    <t>1 этап Комплексные организационно-технические мероприятия по строительству и вводу Объекта в эксплуатацию</t>
  </si>
  <si>
    <t>2 этап Комплексные организационно-технические мероприятия по строительству и вводу Объекта в эксплуатацию</t>
  </si>
  <si>
    <t>3 этап Комплексные организационно-технические мероприятия по строительству и вводу Объекта в эксплуатацию</t>
  </si>
  <si>
    <t>4 этап Комплексные организационно-технические мероприятия по строительству и вводу Объекта в эксплуатацию</t>
  </si>
  <si>
    <t>5 этап Комплексные организационно-технические мероприятия по строительству и вводу Объекта в эксплуатацию</t>
  </si>
  <si>
    <t>Монтаж ДГУ на подготовленный фундамент, проведение сварочных работ по его соединению с  рамой фундамента, присоединение к корпусу ДГУ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</si>
  <si>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13.3</t>
  </si>
  <si>
    <t>13.5</t>
  </si>
  <si>
    <t>13.6</t>
  </si>
  <si>
    <t>1 этап  Монтаж временного ограждения для ПК1 "под ключ" (в т.ч. поставка ограждения, а также материалов для устройства фундаментов и работы по устройству фундаментов)</t>
  </si>
  <si>
    <t xml:space="preserve"> Объект "Элистинская СЭС 115,6 МВт. I пусковой комплекс 78 МВт (3 этап – 15 МВт)"</t>
  </si>
  <si>
    <t>1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</si>
  <si>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1 этап Подготовка траншей кабельноых магистралей ДГУ-ОПУ,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</si>
  <si>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1 этап Подготовка траншей кабельных магистралей здание ЩУ - 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</si>
  <si>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1 этап Подготовка траншей кабельных магистралей здание Склада - ОПУ, включая устройство постели из преска, прокладку гофротрубы, устройство защиты кабельной линий, укладку сигнальной ленты  и обратную засыпку с обвалокой траншей, в том числе поставка материалов.</t>
  </si>
  <si>
    <t>2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</si>
  <si>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3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</si>
  <si>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4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</si>
  <si>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5 этап Подготовка траншей кабелей связи,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t>
  </si>
  <si>
    <t xml:space="preserve"> Объект "Элистинская СЭС 115,6 МВт. II пусковой комплекс 37,6 МВт (3 этап – 5,6 МВт)"</t>
  </si>
  <si>
    <t xml:space="preserve"> Объект "Элистинская СЭС 115,6 МВт. II пусковой комплекс 37,6 МВт (1 этап – 15 МВт)"</t>
  </si>
  <si>
    <t xml:space="preserve"> Объект "Элистинская СЭС 115,6 МВт. II пусковой комплекс 37,6 МВт (2 этап – 17 МВт)"</t>
  </si>
  <si>
    <t>Наименование работ и затрат</t>
  </si>
  <si>
    <t>Монтаж ЗРУ-2 35 кВ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</si>
  <si>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11.1</t>
  </si>
  <si>
    <t>11.3</t>
  </si>
  <si>
    <t>11.4</t>
  </si>
  <si>
    <t>13.7</t>
  </si>
  <si>
    <t>13.8</t>
  </si>
  <si>
    <t>14.3</t>
  </si>
  <si>
    <t>14.4</t>
  </si>
  <si>
    <t>14.5</t>
  </si>
  <si>
    <t>16</t>
  </si>
  <si>
    <t>14.6</t>
  </si>
  <si>
    <t>14.7</t>
  </si>
  <si>
    <t>14.8</t>
  </si>
  <si>
    <t>14.9</t>
  </si>
  <si>
    <t>26</t>
  </si>
  <si>
    <t>27.1</t>
  </si>
  <si>
    <t>27.2</t>
  </si>
  <si>
    <t>27.3</t>
  </si>
  <si>
    <t>27.4</t>
  </si>
  <si>
    <t>27.5</t>
  </si>
  <si>
    <t>27.6</t>
  </si>
  <si>
    <t>27.7</t>
  </si>
  <si>
    <t>27.8</t>
  </si>
  <si>
    <t>33</t>
  </si>
  <si>
    <t>34</t>
  </si>
  <si>
    <t>35</t>
  </si>
  <si>
    <t>36</t>
  </si>
  <si>
    <t>37</t>
  </si>
  <si>
    <t>38</t>
  </si>
  <si>
    <t>39</t>
  </si>
  <si>
    <t>40</t>
  </si>
  <si>
    <t>41</t>
  </si>
  <si>
    <t>3.1</t>
  </si>
  <si>
    <t>3.2</t>
  </si>
  <si>
    <t>3.3</t>
  </si>
  <si>
    <t>3.4</t>
  </si>
  <si>
    <t>3.5</t>
  </si>
  <si>
    <t>4.1</t>
  </si>
  <si>
    <t>4.2</t>
  </si>
  <si>
    <t>5.1</t>
  </si>
  <si>
    <t>5.2</t>
  </si>
  <si>
    <t>12</t>
  </si>
  <si>
    <t>15.1</t>
  </si>
  <si>
    <t>15.2</t>
  </si>
  <si>
    <t>15.3</t>
  </si>
  <si>
    <t>15.4</t>
  </si>
  <si>
    <t>15.5</t>
  </si>
  <si>
    <t>15.6</t>
  </si>
  <si>
    <t>4.3</t>
  </si>
  <si>
    <t>5.3</t>
  </si>
  <si>
    <t>15.7</t>
  </si>
  <si>
    <t>2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</si>
  <si>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3 этап Демонтаж временного ограждения и системы ИСБ</t>
  </si>
  <si>
    <r>
      <t xml:space="preserve">Приемка геодезической основы, вынос строительной сетки в натуру (строительный участок, оси внутриплощадочных проездов и ограждения, свайного поля ОК, фундаменты модульных зданий КТП, ЗРУ, ОПУ, ЩУ, склада, стринговые инверторы, траншей кабельных линий и заземления), полное геодезическое сопровождение на весь период строительства. (объемы закрываются частями, пропорционально объемам выполненных работ, на основании предоставленной подписанной исполнительной документации Заказчиком. Комплекс работ в объеме 100% включает в себя следующие статьи:
</t>
    </r>
    <r>
      <rPr>
        <sz val="10"/>
        <rFont val="Times New Roman"/>
        <family val="1"/>
        <charset val="204"/>
      </rPr>
      <t xml:space="preserve">1. Приемка геодезической основы, включая приемку и выноску временных реперов, склада СВХ, Строительного городка, временной подъездной дороги в т.ч сопровождение до окончания строительства объекта  - 10%.
2. Геодезическая разбивка ограждения и геодезическое сопровождение до окончания работ СМР - 15%. 
3. Геодезическая разбивка свайного поля ОК ФЭМ,стринговых инверторов и геодезическое сопровождение до окончания работ СМР  - 30%
4. Геодезическая разбивка всех кабельных линий, в том числе КЛ, ВЛ, СОП и геодезическое  сопровождение до окончания работ СМР - 25%
5. Геодезическая разбивка внутриплощадочных проездов и площадок, вклюяая геодезическое сопровождение до окончания работ СМР - 15%
6. Геодезическая разбивка осей сооружений, фундаментов, вклюяая, но не ограничиваясь: КТП, ЗРУ, ОПУ, ЩУ, Склад, в том числе геодезическое сопровождение до окончания  работ СМР  - 5% </t>
    </r>
  </si>
  <si>
    <t>Устройство площадки-основания под мобильную ДГУ из щебня в соответствии с РД.</t>
  </si>
  <si>
    <t xml:space="preserve">Устройство постов охраны в количестве не менее 6-х шт.,  силами специализированного и сертифицированного охранного предприятия </t>
  </si>
  <si>
    <r>
      <t xml:space="preserve">1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</si>
  <si>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5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</si>
  <si>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2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</si>
  <si>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3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</si>
  <si>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4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</si>
  <si>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1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</si>
  <si>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r>
      <t xml:space="preserve">2 этап Поставка кабельных муфт, хомутов,  наконечников, сцепной арматуры и т.д. для расключения. 
</t>
    </r>
    <r>
      <rPr>
        <sz val="10"/>
        <rFont val="Times New Roman"/>
        <family val="1"/>
        <charset val="204"/>
      </rPr>
      <t>Итоговая стоимость по данной статье подтверждается по окончанию строительства путем подписания дополнительного соглашения на основании фактически использованного объема материалов, подтвержденного уполномоченным представителем Заказчика на объекте, при условии предоставления первичной документации на закупку (Товарные накладные и Счета-фактуры).</t>
    </r>
  </si>
  <si>
    <t>1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</si>
  <si>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1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</si>
  <si>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r>
      <t xml:space="preserve">1 этап Подключение кабельных линий к ЗРУ-1 35 кВ , включая, но не ограничиваясь: монтаж кабельной арматуры, присоединение кабельной продукции к электротехническому оборудованию в РУ,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ЗРУ-35 кВ).</t>
    </r>
  </si>
  <si>
    <r>
      <t xml:space="preserve">1 этап Подключение отходящих от ЗРУ-1 35 кВ кабельных линий к ПС "Нарн", включая, но не ограничиваясь: монтаж кабельной арматуры, присоединение кабельной продукции к электротехническому оборудованию ПС-10/110 кВ,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ПС "Нарн").</t>
    </r>
  </si>
  <si>
    <r>
      <t xml:space="preserve">1 этап Подключение всех кабельных линий к ОПУ, подходящих от оборудования пускового комплекса №1, включая, но не ограничиваясь: монтаж кабельной арматуры, присоединение кабельной продукции к электротехническому оборудованию в ОПУ, разварка оптиковолоконного кабеля, за исключением кабелей, подходящих к ОПУ от ЗРУ-1 35 кВ </t>
    </r>
    <r>
      <rPr>
        <sz val="10"/>
        <rFont val="Times New Roman"/>
        <family val="1"/>
        <charset val="204"/>
      </rPr>
      <t>(Единичная расценка включает подключение всех необходимых силовых и информационных кабелей к ОПУ).</t>
    </r>
  </si>
  <si>
    <r>
      <t xml:space="preserve">1 этап Подключение всех кабельных линий к оборудованию в ЩУ, подходящих от оборудования пускового комплекса №2 , включая, но не ограничиваясь: монтаж кабельной арматуры, присоединение кабельной продукции к электротехническому оборудованию в ЩУ,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оборудованию в ЩУ).</t>
    </r>
  </si>
  <si>
    <r>
      <t xml:space="preserve">1 этап Подключение кабельных линий в Здании склада, включая, но не ограничиваясь: монтаж кабельной арматуры, присоединение кабельной продукции к электротехническому оборудованию в Здении склада,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оборудованию в Здании склада).</t>
    </r>
  </si>
  <si>
    <r>
      <t xml:space="preserve">1 этап Подключение кабельных линий к ДГУ и к вводному шкафу для ДГУ (при необходимости), включая, но не ограничиваясь: монтаж кабельной арматуры, присоединение кабельной продукции к ДГУ и вводному шкафу для ДГУ (при необходимости), разварка оптиковолоконного кабеля (при необходимости). </t>
    </r>
    <r>
      <rPr>
        <sz val="10"/>
        <rFont val="Times New Roman"/>
        <family val="1"/>
        <charset val="204"/>
      </rPr>
      <t>(Единичная расценка включает подключение всех необходимых силовых и информационных кабелей к ДГУ и вводному шкафу для ДГУ (при необходимости).</t>
    </r>
  </si>
  <si>
    <t>2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</si>
  <si>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2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</si>
  <si>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3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</si>
  <si>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3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</si>
  <si>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4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</si>
  <si>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4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</si>
  <si>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t>5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</si>
  <si>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 xml:space="preserve">5 этап Подключение КТП (монтаж кабельных муфт (наконечников), подключение кабельной продукции, согласно проекту. Проверка фазировки, по окончанию работ сухая и влажная уборка внутри КТП). </t>
  </si>
  <si>
    <r>
      <t xml:space="preserve">1 этап Подключение кабельных линий к ЗРУ-2 35 кВ , включая, но не ограничиваясь: монтаж кабельной арматуры, присоединение кабельной продукции к электротехническому оборудованию в РУ,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ЗРУ-35 кВ).</t>
    </r>
  </si>
  <si>
    <r>
      <t xml:space="preserve">1 этап Подключение отходящих от ЗРУ-2 35 кВ кабельных линий к ПС "Нарн", включая, но не ограничиваясь: монтаж кабельной арматуры, присоединение кабельной продукции к электротехническому оборудованию ПС-10/110 кВ, разварка оптиковолоконного кабеля. </t>
    </r>
    <r>
      <rPr>
        <sz val="10"/>
        <rFont val="Times New Roman"/>
        <family val="1"/>
        <charset val="204"/>
      </rPr>
      <t>(Единичная расценка включает подключение всех необходимых силовых и информационных кабелей к ПС "Нарн").</t>
    </r>
  </si>
  <si>
    <r>
      <t>1 этап Подключение всех кабельных линий к ОПУ, подходящих от оборудования пускового комплекса №2, включая, но не ограничиваясь: монтаж кабельной арматуры, присоединение кабельной продукции к электротехническому оборудованию в ОПУ, разварка оптиковолоконного кабеля, за исключением кабелей, подходящих к ОПУ от ЗРУ-2 35 кВ</t>
    </r>
    <r>
      <rPr>
        <sz val="10"/>
        <rFont val="Times New Roman"/>
        <family val="1"/>
        <charset val="204"/>
      </rPr>
      <t>(Единичная расценка включает подключение всех необходимых силовых и информационных кабелей к ОПУ).</t>
    </r>
  </si>
  <si>
    <t>2 этап Монтаж КТП на подготовленный фундамент, проведение сварочных работ по его соединению с металлическим ростверком фундамента, присоединение к корпусу КТП полосы заземления, восстановление антикоррозионного защитного слоя м.к, после проведения всех сварочных работ. Демонтаж транспортной упаковки и помывка здания после его транспортировки и установки в проектное положение.</t>
  </si>
  <si>
    <t>Устройство строительного городка согласно ПОС (Приложение №4.1)</t>
  </si>
  <si>
    <t>Устройство видеонаблюдения на весь период строительства с помощью 3-х купольных поворотных видеокамер высотой подвеса не менее 10м от уровня земли и возможностью полного обзора территории СВХ и строительного городка, а также записи, хранения  и передачи видео сигнала в online режиме с предоставлением круглосуточного доступа к данному ресурсу Заказчику и Техническому заказчику (видеонаблюдение должно быть организовано в течение 7 календарых дней с момента выхода перснала Подрядчика на площадку строительства)</t>
  </si>
  <si>
    <t>Организация рабочего места Заказчика (в соответствии с приложением №8 к ТЗ на СМР)</t>
  </si>
  <si>
    <t>Организация Блок-контейнера Заказчика на весь период строительства с системой отопления, вентиляции и кондиционирования (ТЗ на СМР) размером не менее 8000х2400мм (на 2 рабочих места)</t>
  </si>
  <si>
    <t>Организация рабочего места Технического заказчика (в соответствии с приложением №8 к ТЗ на СМР и ТЗ на СМР)</t>
  </si>
  <si>
    <t>Организация Блок-контейнера Технического заказчика на весь период строительства с системой отопления, вентиляции и кондиционирования (ТЗ на СМР)  размером не менее 8000х2400мм  (на 3 рабочих места)</t>
  </si>
  <si>
    <t>Организация на весь период строительства высокоскоростного (передача данных со скоростью не менее 10 Мбит/с) безлимитного интернета для работы ПТО, видеонаблюдения, служб Заказчика и технического Заказчика (в соответствии с приложением №8 к ТЗ на СМР)</t>
  </si>
  <si>
    <t>1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</si>
  <si>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1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</si>
  <si>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1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</si>
  <si>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1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</si>
  <si>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1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</si>
  <si>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1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</si>
  <si>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1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</si>
  <si>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1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(пример фундамента стрингового инвертора приведен в приложении №4.4)</t>
  </si>
  <si>
    <t>Фундамент под ЗРУ-1 35кВ "под ключ", включая, но не ограничиваясь поставкой материалов и выполнением следующих работ: 
- устройство фундамента в соответствии с приложением №4.3.2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ЗРУ-1 35кВ приведен в приложении №4.3.2)</t>
  </si>
  <si>
    <t>Фундамент под ОПУ под "ключ", включая, но не ограничиваясь поставкой материалов и выполнением следующих работ: 
- устройство фундамента в соответствии с приложением №4.3.3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ОПУ приведен в приложении №4.3.3)</t>
  </si>
  <si>
    <t>Фундамент под ЩУ "под ключ", включая, но не ограничиваясь поставкой материалов и выполнением следующих работ: 
- устройство фундамента в соответствии с приложением №4.3.4
- установка закладных деталей
- дополнительное армирование и все бетонные работы в случаи необходимости  
(Пример фундамента ЩУ приведен в приложении №4.3.4)</t>
  </si>
  <si>
    <t>Фундамент под здание склада "под ключ", включая, но не ограничиваясь поставкой материалов и выполнением следующих работ: 
- устройство фундамента в соответствии с приложением №4.3.5
- установка закладных деталей
- дополнительное армирование и все бетонные работы в случаи необходимости  
(Пример фундамента склада приведен в приложении №4.3.5)</t>
  </si>
  <si>
    <t>Изготовление домокомплекта для здания ЩУ (Приложение №4.5), включая разработку и согласование с Заказчиком КМ, КМД</t>
  </si>
  <si>
    <t>Монтаж здания ЩУ на подготовленный фундамент (Приложение №4.5), включая внутренние и наружние инжененрные сети, оборудование, мебель, офисную технику ( "под ключ")</t>
  </si>
  <si>
    <t>Изготовление домокомплекта для здания склада (Приложение №4.6), включая разработку и согласование с Заказчиком КМ, КМД</t>
  </si>
  <si>
    <t>Монтаж здания склада на подготовленный фундамент (Приложение №4.6), включая внутренние и наружние инжененрные сети, оборудование  ( "под ключ")</t>
  </si>
  <si>
    <r>
      <t xml:space="preserve">1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</si>
  <si>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1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</si>
  <si>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1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</si>
  <si>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1 этап Монтаж контура заземления  (уравнивания потенциалов), заземления для пожарной техники, в том числе поставка материалов. (Приложение №4.8)</t>
  </si>
  <si>
    <t>1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</si>
  <si>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1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</si>
  <si>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1 этап Подготовка траншей кабельных магистралей ЗРУ-ПС "Нарн",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№4.12</t>
  </si>
  <si>
    <t>1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поставка всех необходимых материалов, включая гофру.</t>
  </si>
  <si>
    <t>1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</si>
  <si>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1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</si>
  <si>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Кабель АПвПУ-35: ЗРУ-1 35 кВ - ПС "Нарн"
(35 кВ,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 В стоимсоть входит приобретение всех необходимых материалов, включая гофру.</t>
  </si>
  <si>
    <t>1 этап Кабель от ДГУ до ОПУ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</si>
  <si>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</si>
  <si>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1 этап Провод ПуВ - 1х6 ( заземление ФЭМ ) включая поставку и монтаж  кабельной арматуры и метизов </t>
  </si>
  <si>
    <t xml:space="preserve">1 этап Провод ПуГВ - 1х6 (металосвязь опорных конструкций).  Включая  поставку и монтаж  кабельной арматуры и метизов </t>
  </si>
  <si>
    <t xml:space="preserve">1 этап Монтаж периметрального ограждения для СЭС (в т.ч. закупка материалов для устройства фундаментов и устройство фундаментов под "ключ") (Приложение №4.3.6) </t>
  </si>
  <si>
    <t>1 этап Монтаж и подключение Оборудования Интегрированной системы безопасности (ИСБ) пускового комплекса №1 (Приложение №7)</t>
  </si>
  <si>
    <t>1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</si>
  <si>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 xml:space="preserve">Строительство подъездной автодороги, включая, но не ограничиваясь: снятием растительного слоя, устройством основания, устройством насыпи, устройство и укрепление обочин, кюветов, планировки прилегающей территории, посев многолетних трав, устройство берм и монтаж дорожных знаков и сигнальных столбиков, водопропускных труб, дорожной разметки, асфальтирования, поставку всех материалов. За единичную расценку берется квадратный метр проезжей части (Приложение №4.13) </t>
  </si>
  <si>
    <t>Работы по пересечению подъездной автомобильной дорогой к Элистинской СЭС магистрального газопровода высокого давления согласно техническим условиям и проектной документации (Приложение №4.13)</t>
  </si>
  <si>
    <t>2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</si>
  <si>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2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</si>
  <si>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2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</si>
  <si>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2 этап Забивка/погружение/установка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</si>
  <si>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 xml:space="preserve">2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</si>
  <si>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2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</si>
  <si>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2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</si>
  <si>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2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(пример фундамента стрингового инвертора приведен в приложении №4.4)</t>
  </si>
  <si>
    <r>
      <t xml:space="preserve">2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</si>
  <si>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2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</si>
  <si>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2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</si>
  <si>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2 этап Монтаж контура заземления  (уравнивания потенциалов), заземления для пожарной техники, в том числе поставка материалов. (Приложение №4.8)</t>
  </si>
  <si>
    <t>2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</si>
  <si>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2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</si>
  <si>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</si>
  <si>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</si>
  <si>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2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</si>
  <si>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2 этап Провод ПуВ - 1х6 ( заземление ФЭМ ) включая поставку и монтаж  кабельной арматуры и метизов </t>
  </si>
  <si>
    <t xml:space="preserve">2 этап Провод ПуГВ - 1х6 (металосвязь опорных конструкций). включая поставку и монтаж  кабельной арматуры и метизов </t>
  </si>
  <si>
    <t>2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</si>
  <si>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3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</si>
  <si>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3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</si>
  <si>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3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</si>
  <si>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3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</si>
  <si>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 xml:space="preserve">3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</si>
  <si>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3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</si>
  <si>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3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</si>
  <si>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3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</si>
  <si>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3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</si>
  <si>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3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</si>
  <si>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3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</si>
  <si>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3 этап Монтаж контура заземления  (уравнивания потенциалов), заземления для пожарной техники, в том числе поставка материалов. (Приложение №4.8)</t>
  </si>
  <si>
    <t>3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</si>
  <si>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3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</si>
  <si>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3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</si>
  <si>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</si>
  <si>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</si>
  <si>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</si>
  <si>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3 этап Провод ПуВ - 1х6 ( заземление ФЭМ ) включая  поставку и монтаж  кабельной арматуры и метизов </t>
  </si>
  <si>
    <t xml:space="preserve">3 этап Провод ПуГВ - 1х6 (металосвязь опорных конструкций).  включая поставку и монтаж  кабельной арматуры и метизов </t>
  </si>
  <si>
    <t>3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</si>
  <si>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4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</si>
  <si>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4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</si>
  <si>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4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</si>
  <si>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4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</si>
  <si>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 xml:space="preserve">4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</si>
  <si>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4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</si>
  <si>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4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</si>
  <si>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4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</si>
  <si>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4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</si>
  <si>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4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</si>
  <si>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4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</si>
  <si>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4 этап Монтаж контура заземления  (уравнивания потенциалов), заземления для пожарной техники, в том числе поставка материалов. (Приложение №4.8)</t>
  </si>
  <si>
    <t>4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</si>
  <si>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4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</si>
  <si>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4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</si>
  <si>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</si>
  <si>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</si>
  <si>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4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</si>
  <si>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4 этап Провод ПуВ - 1х6 ( заземление ФЭМ ) включая  поставку и монтаж  кабельной арматуры и метизов </t>
  </si>
  <si>
    <t xml:space="preserve">4 этап Провод ПуГВ - 1х6 (металосвязь опорных конструкций).  включая поставку и монтаж  кабельной арматуры и метизов </t>
  </si>
  <si>
    <t>4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</si>
  <si>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5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</si>
  <si>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5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</si>
  <si>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5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 Восстановление защитного покрытия до нормативных величин ) </t>
    </r>
  </si>
  <si>
    <r>
      <rPr>
        <b/>
        <sz val="10"/>
        <rFont val="Times New Roman"/>
        <family val="1"/>
        <charset val="204"/>
      </rPr>
      <t>5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</si>
  <si>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 xml:space="preserve">5 этап Монтаж опорных конструкций на 58 ФЭМ (количество столов) </t>
    </r>
    <r>
      <rPr>
        <sz val="10"/>
        <rFont val="Times New Roman"/>
        <family val="1"/>
        <charset val="204"/>
      </rPr>
      <t xml:space="preserve">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</si>
  <si>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5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</si>
  <si>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5 этап Фундамент под КТП под "ключ", включая, но не ограничиваясь поставкой материалов и выполнением следующих работ: 
- устройство фундамента в соответствии с приложением №4.3.1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КТП приведен в приложении №4.3.1)</t>
  </si>
  <si>
    <t>5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</si>
  <si>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r>
      <t xml:space="preserve">5 этап Монтаж системы молниезащиты
</t>
    </r>
    <r>
      <rPr>
        <sz val="10"/>
        <rFont val="Times New Roman"/>
        <family val="1"/>
        <charset val="204"/>
      </rPr>
      <t>- монтаж молниеотводов "под ключ", включая поставку молниеотводов, а также всех необходимых материалов для монтажа (метизы, металлопрокат и др.) и устройства фундаментов (щебень, песок, арматура, бетон, закладные и др.);
- подготовка траншей контура заземления и уравнивания потенциалов системы молниезащиты, устройство постели из просеянного грунта и обратная засыпка траншей с обваловкой;
- монтаж контура заземления (уравнивания потенциалов) системы молниезащиты, в том числе поставка материалов.</t>
    </r>
    <r>
      <rPr>
        <b/>
        <sz val="10"/>
        <rFont val="Times New Roman"/>
        <family val="1"/>
        <charset val="204"/>
      </rPr>
      <t xml:space="preserve"> (Приложение №4.7)</t>
    </r>
  </si>
  <si>
    <t>5 этап Подготовка траншей контура заземления и уравнивания потенциалов, устройство постели из просеянного грунта и обратная засыпка траншей с обваловкой. (Приложение №4.8)</t>
  </si>
  <si>
    <t>5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</si>
  <si>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5 этап Монтаж контура заземления  (уравнивания потенциалов), заземления для пожарной техники, в том числе поставка материалов. (Приложение №4.8)</t>
  </si>
  <si>
    <t>5 этап Подготовка траншей  кабельных магистралей Инвертор - КТП, включая устройство постели из песка,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№4.10</t>
  </si>
  <si>
    <t>5 этап Подготовка траншей кабельных магистралей КТП-ЗРУ, включая устройство постели из преска, прокладку гофротрубы, устройство защиты кабельных линий, укладку сигнальной ленты  и обратную засыпку с обвалокой траншей, в том числе поставка материалов. Приложение №4.11</t>
  </si>
  <si>
    <t>5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</si>
  <si>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</si>
  <si>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</si>
  <si>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5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</si>
  <si>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5 этап Провод ПуВ - 1х6 ( заземление ФЭМ ), включая  поставку и монтаж  кабельной арматуры и метизов </t>
  </si>
  <si>
    <t xml:space="preserve">5 этап Провод ПуГВ - 1х6 (металосвязь опорных конструкций), включая поставку и монтаж  кабельной арматуры и метизов </t>
  </si>
  <si>
    <t>5 этап Внутриплощадочные проезды и площадки разворота, включая устройство водопропускных труб, водоотводящих каналов, кюветов, поставку материалов в соответтсвии с Приложением №1</t>
  </si>
  <si>
    <t>1 этап Расчистка территории СЭС, включая, но не ограничиваясь: вырубкой деревьев и поросли, покосом травы, сухостоя, расчисткой снега,  вспашкой полосы земли  шириной не менее 10м. вокруг территории строительства СЭС с проливом вспашеной полосы гербицидом сплошного действия за один раз, уборкой мусора, демонтажем конструкций, уборкой камней). Перед началом работ объемы согласовываются с представителем Заказчика на месте.</t>
  </si>
  <si>
    <t>1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</si>
  <si>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1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</si>
  <si>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1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</si>
  <si>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1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</si>
  <si>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t>Фундамент под ЗРУ-2 35кВ "под ключ", включая, но не ограничиваясь поставкой материалов и выполнением следующих работ: 
- устройство фундамента в соответствии с приложением №4.3.2
- изготовление и монтаж металлической рамы фундамента
- устройство монолитных площадок под площадки обслуживания  и отмостку
- установка закладных деталей
- дополнительное армирование и все бетонные работы в случаи необходимости  
(Пример фундамента ЗРУ-2 35кВ приведен в приложении №4.3.2)</t>
  </si>
  <si>
    <t>1 этап Подготовка траншей кабеля SOLAR, включая устройство постели из просеянного грунта, прокладку гофротрубы, устройство защиты кабельных линий, укладку сигнальной ленты и обратную засыпку с обваловкой траншей, в том числе поставка материалов. (Приложение №4.9)</t>
  </si>
  <si>
    <t>1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</si>
  <si>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</si>
  <si>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АПвПУ-35: КТП - ЗРУ-2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</si>
  <si>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АПвПУ-35: ЗРУ-2 35 кВ - ПС "Нарн"
(35 кВ,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</si>
  <si>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1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</si>
  <si>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 xml:space="preserve">1 этап Провод ПуВ - 1х6 (заземление ФЭМ) включая поставку и монтаж кабельной арматуры и метизов </t>
  </si>
  <si>
    <t xml:space="preserve">1 этап Провод ПуГВ - 1х6 (металосвязь опорных конструкций) включая поставку и монтаж  кабельной арматуры и метизов </t>
  </si>
  <si>
    <t>1 этап Монтаж и подключение Оборудования Интегрированной системы безопасности (ИСБ) пускового комплекса №2 (Приложение №7)</t>
  </si>
  <si>
    <r>
      <rPr>
        <b/>
        <sz val="10"/>
        <rFont val="Times New Roman"/>
        <family val="1"/>
        <charset val="204"/>
      </rPr>
      <t>2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</si>
  <si>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2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</si>
  <si>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2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</si>
  <si>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2 этап Фундамент под стринговый инвертор (забивка свай, аналогично п.11.1.)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Восстановление защитного покрытия до нормативных величин) (пример фундамента стрингового инвертора приведен в приложении №4.4)</t>
  </si>
  <si>
    <t xml:space="preserve">2 этап Провод ПуГВ - 1х6 (металосвязь опорных конструкций) включая поставку и монтаж  кабельной арматуры и метизов </t>
  </si>
  <si>
    <t>3 этап Вертикальная планировка  автогрейдером  под опорные конструкции ФЭМ и ограждение СЭС (ширина прохода   не менее 2м  ) с вывозкой остатков мусора, земли, камней, растительного слоя  и т.п. (По окончании работ составляется акт с подтверждением фактически выполненных объемов работ.) Перед началом работ объемы согласовываются с представителем Заказчика на месте.</t>
  </si>
  <si>
    <r>
      <rPr>
        <b/>
        <sz val="10"/>
        <rFont val="Times New Roman"/>
        <family val="1"/>
        <charset val="204"/>
      </rPr>
      <t>3 этап Забивка/погружение/установка/наращивание опорных стоек в проектное положение для столов на 58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 </t>
    </r>
  </si>
  <si>
    <r>
      <rPr>
        <b/>
        <sz val="10"/>
        <rFont val="Times New Roman"/>
        <family val="1"/>
        <charset val="204"/>
      </rPr>
      <t>3 этап Забивка/погружение/установка/наращивание опорных стоек в проектное положение для столов на 48 ФЭМ</t>
    </r>
    <r>
      <rPr>
        <sz val="10"/>
        <rFont val="Times New Roman"/>
        <family val="1"/>
        <charset val="204"/>
      </rPr>
      <t xml:space="preserve">
(Единичная расценка фиксированная и действительна для всех типов опорных стоек, для любых геологических условий, включая, но не ограничиваясь: устройством котлованов, либо лидирующих скважин с последующим погружением в них свай и их обетонированию. Срезке оголовков свай, устройство отверстий, наращивание, стыковка свай  с последующей забивкой. Восстановление защитного покрытия до нормативных величин) </t>
    </r>
  </si>
  <si>
    <r>
      <rPr>
        <b/>
        <sz val="10"/>
        <rFont val="Times New Roman"/>
        <family val="1"/>
        <charset val="204"/>
      </rPr>
      <t>3 этап Монтаж опорных конструкций на 58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58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</si>
  <si>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3 этап Монтаж опорных конструкций на 48 ФЭМ (количество столов</t>
    </r>
    <r>
      <rPr>
        <sz val="10"/>
        <rFont val="Times New Roman"/>
        <family val="1"/>
        <charset val="204"/>
      </rPr>
      <t>) 
(Единичная расценка фиксированная и действительна для всех типов 4-х рядных опорных конструкций с количеством ФЭМ в одном столе 48 шт. Единичная расценка не зависит от  конфигурации, массы опорных конструкций и типа ФЭМ) (инструкция по сборке приведена в приложении №4.2).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</si>
  <si>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3 этап Кабель OLFLEX SOLAR 1х6 (от ФЭМ до Инвертора) по опорным конструкциям и в земле.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</si>
  <si>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от Инвертора до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</si>
  <si>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t>3 этап Кабель АПвПУ-35: КТП - ЗРУ-1 35 кВ
(35 кВ,с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 В стоимсоть входит приобретение всех необходимых материалов, включая гофру.</t>
  </si>
  <si>
    <r>
      <t>3 этап Кабель оптоволоконный (мониторинг ЗРУ- ЩУ -ОПУ- КТП)
(с маркировкой кабельных линий пластиковыми бирками в соответствии стребованием ПУЭ. Пластик должен быть стойкий к ультрафиолетовому свету. Маркировка на пластиковых бирках должна быть выполнена с помощью термопечати). Монтаж кабельных линий производится вне зависимости от степени готовности периметрального ограждения СЭС.</t>
    </r>
    <r>
      <rPr>
        <b/>
        <sz val="10"/>
        <rFont val="Times New Roman"/>
        <family val="1"/>
        <charset val="204"/>
      </rPr>
      <t xml:space="preserve"> </t>
    </r>
    <r>
      <rPr>
        <sz val="10"/>
        <rFont val="Times New Roman"/>
        <family val="1"/>
        <charset val="204"/>
      </rPr>
      <t>В стоимсоть входит приобретение всех необходимых материалов, включая гофру.</t>
    </r>
  </si>
  <si>
    <t xml:space="preserve">3 этап Провод ПуВ - 1х6 ( заземление ФЭМ ) включая поставку и монтаж  кабельной арматуры и метизов </t>
  </si>
  <si>
    <t xml:space="preserve">3 этап Провод ПуГВ - 1х6 (металосвязь опорных конструкций). включая поставку и монтаж  кабельной арматуры и метизов </t>
  </si>
  <si>
    <t>11.5</t>
  </si>
  <si>
    <r>
      <rPr>
        <b/>
        <sz val="10"/>
        <rFont val="Times New Roman"/>
        <family val="1"/>
        <charset val="204"/>
      </rPr>
      <t>1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t>
    </r>
    <r>
      <rPr>
        <sz val="10"/>
        <rFont val="Times New Roman"/>
        <family val="1"/>
        <charset val="204"/>
      </rPr>
      <t xml:space="preserve">
(Единичная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</si>
  <si>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2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</si>
  <si>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3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</si>
  <si>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4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</si>
  <si>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5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кабеля с закреплением на опорных конструкциях под 58 ФЭМ и 48 ФЭМ на 1 стол
</t>
    </r>
    <r>
      <rPr>
        <sz val="10"/>
        <rFont val="Times New Roman"/>
        <family val="1"/>
        <charset val="204"/>
      </rPr>
      <t>(Единичная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</si>
  <si>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r>
      <rPr>
        <b/>
        <sz val="10"/>
        <rFont val="Times New Roman"/>
        <family val="1"/>
        <charset val="204"/>
      </rPr>
      <t xml:space="preserve">1 этап Монтаж фотоэлектрических модулей (ФЭМ), в т.ч. изготовление переходников-удлиннителей длиной до 2,5 м, монтаж и расключение МС-коннекторов, укладка коннектора и </t>
    </r>
    <r>
      <rPr>
        <sz val="10"/>
        <rFont val="Times New Roman"/>
        <family val="1"/>
        <charset val="204"/>
      </rPr>
      <t>кабеля с закреплением на опорных конструкциях под 58 ФЭМ и 48 ФЭМ на 1 стол
(Единичная расцена фиксированная и дается для всех видов модулей, включая, но не ограничиваясь: номинальной мощность  290 - 420Вт, количеством ячеек в модуле 60 шт., 72 шт.)  Все работы выполняются в четком соответствии с утвержденной инструкцией Поставщика и КМД. Все конструкции передаются и  принимаются представителем  Постащика по акту, с последующей  постановкой на гарантию.</t>
    </r>
  </si>
  <si>
    <t xml:space="preserve">1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</si>
  <si>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7</t>
  </si>
  <si>
    <t xml:space="preserve">3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</si>
  <si>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2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</si>
  <si>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5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</si>
  <si>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4 этап Подключение стринговых инверторов (монтаж кабельных муфт (наконечников), монтаж и расключение штекерных разъемов цепочек МС-коннекторов, подключение кабельной продукции, согласно проекту. Проверка полярности, по окончанию работ сухая и влажная уборка внутри и снаружи инвертора). </t>
  </si>
  <si>
    <t xml:space="preserve">Подрядчик: </t>
  </si>
  <si>
    <t xml:space="preserve">Заказчик: </t>
  </si>
  <si>
    <t>Общество с ограниченной ответственностью «Авелар Солар Технолоджи»</t>
  </si>
  <si>
    <t>Раздел 1. Предложение Подрядчика</t>
  </si>
  <si>
    <t xml:space="preserve">В рамках настоящего предложения Подрядчик предлагает Заказчику заключить договор на строительство строительства Элистинской СЭС 115,6 МВт </t>
  </si>
  <si>
    <t>(1 этап – 18 МВт, 2 этап – 15 МВт, 3 этап – 15 МВт, 4 этап – 15 МВт, 5 этап – 15 МВт)</t>
  </si>
  <si>
    <t>Комментарии Подрядчика</t>
  </si>
  <si>
    <t>Раздел 2. Условия Предложения и его акцепта:</t>
  </si>
  <si>
    <t>1. Срок действия предложения:</t>
  </si>
  <si>
    <t>Предложение действительно в течение 90  календарных дней с даты получения Покупателем.</t>
  </si>
  <si>
    <t>2. Объем акцепта:</t>
  </si>
  <si>
    <t>Настоящее предложение может быть акцептована не более одного раза.</t>
  </si>
  <si>
    <t>3. Последствия акцепта:</t>
  </si>
  <si>
    <t>4. Безотзывность Предложения:</t>
  </si>
  <si>
    <t>Настоящее Предложение является безотзывным и сохраняет силу до окончания срока действия Предложения.</t>
  </si>
  <si>
    <t>5. Комментарии к договору</t>
  </si>
  <si>
    <t>Подрядчик согласен с условиями договора и готов подписать договор в редакции Заказчика без замечаний.</t>
  </si>
  <si>
    <t>_________________________________________</t>
  </si>
  <si>
    <t xml:space="preserve"> _____________________/________________________________/</t>
  </si>
  <si>
    <t>(должность руководителя)</t>
  </si>
  <si>
    <t xml:space="preserve">   (подпись, </t>
  </si>
  <si>
    <t>печать)   (ФИО)</t>
  </si>
  <si>
    <t>"_____"________________ 2021г.</t>
  </si>
  <si>
    <t xml:space="preserve">I пусковой комплекс 78 МВт </t>
  </si>
  <si>
    <r>
      <t>Уведомление о согласии с настоящим предложением, направленное Покупателем, является акцептом предложения. 
С даты получения акцепта Поставщиком Договор на Строительно-Монтажные работы считается заключенным и  Подрядчик обязуется подписать Договор в виде единого документа в течении 10 календарных дней с даты получения Подрядчиком акцепта Заказчика</t>
    </r>
    <r>
      <rPr>
        <sz val="11"/>
        <color indexed="10"/>
        <rFont val="Times New Roman"/>
        <family val="1"/>
        <charset val="204"/>
      </rPr>
      <t>.</t>
    </r>
  </si>
  <si>
    <t>Цена за единицу, руб. без НДС</t>
  </si>
  <si>
    <t>Сумма, руб. без НДС</t>
  </si>
  <si>
    <t>Итоговая Сумма, руб. без НДС без НДС</t>
  </si>
  <si>
    <t>Итого, руб. без НДС:</t>
  </si>
  <si>
    <t>Итого, руб. с НДС:</t>
  </si>
  <si>
    <t>Итого, руб. без НДС по этапу 1:</t>
  </si>
  <si>
    <t>Итого, руб. с НДС по этапу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</si>
</sst>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164" formatCode="_-* #,##0.00\ _₽_-;\-* #,##0.00\ _₽_-;_-* &quot;-&quot;??\ _₽_-;_-@_-"/>
    <numFmt numFmtId="165" formatCode="[$-419]mmm\ yy;@"/>
    <numFmt numFmtId="166" formatCode="0.0"/>
    <numFmt numFmtId="167" formatCode="dd/mm/yy;@"/>
    <numFmt numFmtId="168" formatCode="#,##0.00000"/>
    <numFmt numFmtId="169" formatCode="#,##0.0"/>
    <numFmt numFmtId="170" formatCode="_-* #,##0&quot;р.&quot;_-;\-* #,##0&quot;р.&quot;_-;_-* &quot;-&quot;&quot;р.&quot;_-;_-@_-"/>
    <numFmt numFmtId="171" formatCode="_-* #,##0.00_р_._-;\-* #,##0.00_р_._-;_-* &quot;-&quot;??_р_._-;_-@_-"/>
    <numFmt numFmtId="172" formatCode="_(* #,##0.00_);_(* \(#,##0.00\);_(* &quot;-&quot;??_);_(@_)"/>
    <numFmt numFmtId="173" formatCode="&quot;$&quot;#,##0_);[Red]\(&quot;$&quot;#,##0\)"/>
    <numFmt numFmtId="174" formatCode="_(&quot;$&quot;* #,##0.00_);_(&quot;$&quot;* \(#,##0.00\);_(&quot;$&quot;* &quot;-&quot;??_);_(@_)"/>
    <numFmt numFmtId="175" formatCode="_(* #,##0_);_(* \(#,##0\);_(* &quot;-&quot;_);_(@_)"/>
    <numFmt numFmtId="176" formatCode="_(&quot;$&quot;* #,##0_);_(&quot;$&quot;* \(#,##0\);_(&quot;$&quot;* &quot;-&quot;_);_(@_)"/>
    <numFmt numFmtId="177" formatCode="&quot;See Note &quot;\ #"/>
    <numFmt numFmtId="178" formatCode="_-* #,##0\ _р_._-;\-* #,##0\ _р_._-;_-* &quot;-&quot;\ _р_._-;_-@_-"/>
    <numFmt numFmtId="179" formatCode="_-* #,##0.00\ _р_._-;\-* #,##0.00\ _р_._-;_-* &quot;-&quot;??\ _р_._-;_-@_-"/>
  </numFmts>
  <fonts count="89">
    <font>
      <sz val="11"/>
      <color theme="1"/>
      <name val="Calibri"/>
      <family val="2"/>
      <charset val="204"/>
      <scheme val="minor"/>
    </font>
    <font>
      <sz val="9"/>
      <color indexed="81"/>
      <name val="Tahoma"/>
      <family val="2"/>
      <charset val="204"/>
    </font>
    <font>
      <b/>
      <sz val="9"/>
      <color indexed="81"/>
      <name val="Tahoma"/>
      <family val="2"/>
      <charset val="204"/>
    </font>
    <font>
      <sz val="11"/>
      <color rgb="FFFF0000"/>
      <name val="Calibri"/>
      <family val="2"/>
      <charset val="204"/>
      <scheme val="minor"/>
    </font>
    <font>
      <b/>
      <sz val="11"/>
      <color theme="1"/>
      <name val="Calibri"/>
      <family val="2"/>
      <charset val="204"/>
      <scheme val="minor"/>
    </font>
    <font>
      <sz val="8"/>
      <color theme="1"/>
      <name val="Calibri"/>
      <family val="2"/>
      <charset val="204"/>
      <scheme val="minor"/>
    </font>
    <font>
      <sz val="11"/>
      <name val="Calibri"/>
      <family val="2"/>
      <charset val="204"/>
      <scheme val="minor"/>
    </font>
    <font>
      <sz val="11"/>
      <color theme="9" tint="-0.249977111117893"/>
      <name val="Calibri"/>
      <family val="2"/>
      <charset val="204"/>
      <scheme val="minor"/>
    </font>
    <font>
      <b/>
      <sz val="12"/>
      <color theme="1"/>
      <name val="Calibri"/>
      <family val="2"/>
      <charset val="204"/>
      <scheme val="minor"/>
    </font>
    <font>
      <sz val="11"/>
      <color rgb="FF0070C0"/>
      <name val="Calibri"/>
      <family val="2"/>
      <charset val="204"/>
      <scheme val="minor"/>
    </font>
    <font>
      <sz val="9"/>
      <color theme="1"/>
      <name val="Calibri"/>
      <family val="2"/>
      <charset val="204"/>
      <scheme val="minor"/>
    </font>
    <font>
      <sz val="11"/>
      <color rgb="FF000000"/>
      <name val="Calibri"/>
      <family val="2"/>
      <charset val="204"/>
    </font>
    <font>
      <sz val="11"/>
      <color theme="0"/>
      <name val="Calibri"/>
      <family val="2"/>
      <charset val="204"/>
      <scheme val="minor"/>
    </font>
    <font>
      <b/>
      <sz val="11"/>
      <color rgb="FFFF0000"/>
      <name val="Calibri"/>
      <family val="2"/>
      <charset val="204"/>
      <scheme val="minor"/>
    </font>
    <font>
      <b/>
      <sz val="11"/>
      <name val="Calibri"/>
      <family val="2"/>
      <charset val="204"/>
      <scheme val="minor"/>
    </font>
    <font>
      <b/>
      <sz val="12"/>
      <name val="Calibri"/>
      <family val="2"/>
      <charset val="204"/>
      <scheme val="minor"/>
    </font>
    <font>
      <sz val="16"/>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Cyr"/>
      <charset val="204"/>
    </font>
    <font>
      <sz val="10"/>
      <name val="Helv"/>
    </font>
    <font>
      <b/>
      <sz val="10"/>
      <name val="Times New Roman"/>
      <family val="1"/>
      <charset val="204"/>
    </font>
    <font>
      <b/>
      <sz val="11"/>
      <name val="Times New Roman"/>
      <family val="1"/>
      <charset val="204"/>
    </font>
    <font>
      <sz val="10"/>
      <name val="Times New Roman"/>
      <family val="1"/>
      <charset val="204"/>
    </font>
    <font>
      <sz val="9"/>
      <name val="Times New Roman"/>
      <family val="1"/>
      <charset val="204"/>
    </font>
    <font>
      <sz val="11"/>
      <color theme="1"/>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sz val="10"/>
      <name val="Helv"/>
      <charset val="204"/>
    </font>
    <font>
      <sz val="1"/>
      <color indexed="8"/>
      <name val="Courier"/>
      <family val="1"/>
      <charset val="204"/>
    </font>
    <font>
      <b/>
      <sz val="1"/>
      <color indexed="8"/>
      <name val="Courier"/>
      <family val="1"/>
      <charset val="204"/>
    </font>
    <font>
      <i/>
      <sz val="8"/>
      <name val="Times New Roman"/>
      <family val="1"/>
      <charset val="204"/>
    </font>
    <font>
      <sz val="10"/>
      <name val="Antiqua"/>
    </font>
    <font>
      <sz val="10"/>
      <name val="MS Sans Serif"/>
      <family val="2"/>
      <charset val="204"/>
    </font>
    <font>
      <sz val="10"/>
      <name val="Futuris"/>
    </font>
    <font>
      <b/>
      <i/>
      <sz val="10"/>
      <name val="Arial Cyr"/>
      <family val="2"/>
      <charset val="204"/>
    </font>
    <font>
      <b/>
      <sz val="9"/>
      <name val="Arial Cyr"/>
      <family val="2"/>
      <charset val="204"/>
    </font>
    <font>
      <b/>
      <sz val="18"/>
      <name val="ITCCentury Book"/>
    </font>
    <font>
      <b/>
      <sz val="14"/>
      <name val="Times New Roman"/>
      <family val="1"/>
      <charset val="204"/>
    </font>
    <font>
      <sz val="14"/>
      <name val="ITCCentury Book"/>
    </font>
    <font>
      <sz val="8"/>
      <name val="Helv"/>
    </font>
    <font>
      <sz val="9"/>
      <color indexed="9"/>
      <name val="TimesET"/>
    </font>
    <font>
      <sz val="8"/>
      <name val="Arial Cyr"/>
      <family val="2"/>
      <charset val="204"/>
    </font>
    <font>
      <sz val="9"/>
      <name val="Arial"/>
      <family val="2"/>
      <charset val="204"/>
    </font>
    <font>
      <sz val="10"/>
      <name val="Arial Cyr"/>
      <family val="2"/>
      <charset val="204"/>
    </font>
    <font>
      <u/>
      <sz val="10"/>
      <color indexed="12"/>
      <name val="Arial"/>
      <family val="2"/>
      <charset val="204"/>
    </font>
    <font>
      <i/>
      <sz val="11"/>
      <name val="Futuris"/>
    </font>
    <font>
      <b/>
      <sz val="9"/>
      <name val="Times New Roman"/>
      <family val="1"/>
      <charset val="204"/>
    </font>
    <font>
      <sz val="10"/>
      <color indexed="8"/>
      <name val="Times New Roman"/>
      <family val="1"/>
      <charset val="204"/>
    </font>
    <font>
      <b/>
      <sz val="12"/>
      <name val="Arial"/>
      <family val="2"/>
      <charset val="204"/>
    </font>
    <font>
      <b/>
      <i/>
      <sz val="11"/>
      <name val="Arial Cyr"/>
      <charset val="204"/>
    </font>
    <font>
      <sz val="11"/>
      <color theme="1"/>
      <name val="Calibri"/>
      <family val="2"/>
      <scheme val="minor"/>
    </font>
    <font>
      <i/>
      <sz val="9"/>
      <name val="Times New Roman"/>
      <family val="1"/>
      <charset val="204"/>
    </font>
    <font>
      <u/>
      <sz val="10"/>
      <color indexed="12"/>
      <name val="Arial Cyr"/>
      <charset val="204"/>
    </font>
    <font>
      <sz val="11"/>
      <name val="Times New Roman"/>
      <family val="1"/>
      <charset val="204"/>
    </font>
    <font>
      <sz val="12"/>
      <color rgb="FFFF0000"/>
      <name val="Times New Roman"/>
      <family val="1"/>
      <charset val="204"/>
    </font>
    <font>
      <sz val="11"/>
      <color rgb="FFFF0000"/>
      <name val="Times New Roman"/>
      <family val="1"/>
      <charset val="204"/>
    </font>
    <font>
      <b/>
      <sz val="12"/>
      <color theme="1"/>
      <name val="Times New Roman"/>
      <family val="1"/>
      <charset val="204"/>
    </font>
    <font>
      <sz val="11"/>
      <color theme="1"/>
      <name val="Times New Roman"/>
      <family val="1"/>
      <charset val="204"/>
    </font>
    <font>
      <b/>
      <sz val="12"/>
      <color rgb="FFFF0000"/>
      <name val="Times New Roman"/>
      <family val="1"/>
      <charset val="204"/>
    </font>
    <font>
      <sz val="12"/>
      <color theme="1"/>
      <name val="Times New Roman"/>
      <family val="1"/>
      <charset val="204"/>
    </font>
    <font>
      <b/>
      <vertAlign val="superscript"/>
      <sz val="12"/>
      <color theme="1"/>
      <name val="Times New Roman"/>
      <family val="1"/>
      <charset val="204"/>
    </font>
    <font>
      <i/>
      <vertAlign val="superscript"/>
      <sz val="12"/>
      <color theme="1"/>
      <name val="Times New Roman"/>
      <family val="1"/>
      <charset val="204"/>
    </font>
    <font>
      <b/>
      <sz val="10"/>
      <color theme="1"/>
      <name val="Times New Roman"/>
      <family val="1"/>
      <charset val="204"/>
    </font>
    <font>
      <b/>
      <sz val="14"/>
      <color theme="1"/>
      <name val="Times New Roman"/>
      <family val="1"/>
      <charset val="204"/>
    </font>
    <font>
      <b/>
      <sz val="14"/>
      <color rgb="FFFF0000"/>
      <name val="Times New Roman"/>
      <family val="1"/>
      <charset val="204"/>
    </font>
    <font>
      <sz val="14"/>
      <color theme="1"/>
      <name val="Times New Roman"/>
      <family val="1"/>
      <charset val="204"/>
    </font>
    <font>
      <sz val="14"/>
      <name val="Times New Roman"/>
      <family val="1"/>
      <charset val="204"/>
    </font>
    <font>
      <b/>
      <vertAlign val="superscript"/>
      <sz val="14"/>
      <color theme="1"/>
      <name val="Times New Roman"/>
      <family val="1"/>
      <charset val="204"/>
    </font>
    <font>
      <i/>
      <vertAlign val="superscript"/>
      <sz val="14"/>
      <color theme="1"/>
      <name val="Times New Roman"/>
      <family val="1"/>
      <charset val="204"/>
    </font>
    <font>
      <b/>
      <i/>
      <sz val="11"/>
      <name val="Times New Roman"/>
      <family val="1"/>
      <charset val="204"/>
    </font>
    <font>
      <sz val="11"/>
      <color indexed="10"/>
      <name val="Times New Roman"/>
      <family val="1"/>
      <charset val="204"/>
    </font>
  </fonts>
  <fills count="40">
    <fill>
      <patternFill patternType="none"/>
    </fill>
    <fill>
      <patternFill patternType="gray125"/>
    </fill>
    <fill>
      <patternFill patternType="solid">
        <fgColor theme="6"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D9E6"/>
        <bgColor indexed="64"/>
      </patternFill>
    </fill>
    <fill>
      <patternFill patternType="solid">
        <fgColor rgb="FFD9FFD9"/>
        <bgColor indexed="64"/>
      </patternFill>
    </fill>
    <fill>
      <patternFill patternType="solid">
        <fgColor rgb="FFE5E5FF"/>
        <bgColor indexed="64"/>
      </patternFill>
    </fill>
    <fill>
      <patternFill patternType="solid">
        <fgColor rgb="FFD4F8F1"/>
        <bgColor indexed="64"/>
      </patternFill>
    </fill>
    <fill>
      <patternFill patternType="solid">
        <fgColor theme="0"/>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lightGray"/>
    </fill>
    <fill>
      <patternFill patternType="gray0625"/>
    </fill>
    <fill>
      <patternFill patternType="solid">
        <fgColor rgb="FFFFFFCC"/>
        <bgColor indexed="64"/>
      </patternFill>
    </fill>
  </fills>
  <borders count="14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1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right style="thin">
        <color auto="1"/>
      </right>
      <top style="medium">
        <color auto="1"/>
      </top>
      <bottom/>
      <diagonal/>
    </border>
    <border>
      <left/>
      <right style="thin">
        <color auto="1"/>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style="thin">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top style="thin">
        <color auto="1"/>
      </top>
      <bottom style="medium">
        <color indexed="64"/>
      </bottom>
      <diagonal/>
    </border>
    <border>
      <left/>
      <right style="medium">
        <color auto="1"/>
      </right>
      <top/>
      <bottom style="thin">
        <color auto="1"/>
      </bottom>
      <diagonal/>
    </border>
  </borders>
  <cellStyleXfs count="1407">
    <xf numFmtId="0" fontId="0" fillId="0" borderId="0"/>
    <xf numFmtId="44" fontId="17" fillId="0" borderId="0" applyFont="0" applyFill="0" applyBorder="0" applyAlignment="0" applyProtection="0"/>
    <xf numFmtId="9" fontId="17" fillId="0" borderId="0" applyFont="0" applyFill="0" applyBorder="0" applyAlignment="0" applyProtection="0"/>
    <xf numFmtId="0" fontId="20" fillId="0" borderId="0"/>
    <xf numFmtId="0" fontId="21" fillId="0" borderId="0"/>
    <xf numFmtId="0" fontId="20" fillId="0" borderId="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29" fillId="14" borderId="0" applyNumberFormat="0" applyBorder="0" applyAlignment="0" applyProtection="0"/>
    <xf numFmtId="0" fontId="30" fillId="31" borderId="46" applyNumberFormat="0" applyAlignment="0" applyProtection="0"/>
    <xf numFmtId="0" fontId="31" fillId="32" borderId="47" applyNumberFormat="0" applyAlignment="0" applyProtection="0"/>
    <xf numFmtId="0" fontId="32" fillId="0" borderId="0" applyNumberFormat="0" applyFill="0" applyBorder="0" applyAlignment="0" applyProtection="0"/>
    <xf numFmtId="0" fontId="33" fillId="15" borderId="0" applyNumberFormat="0" applyBorder="0" applyAlignment="0" applyProtection="0"/>
    <xf numFmtId="0" fontId="34" fillId="0" borderId="48" applyNumberFormat="0" applyFill="0" applyAlignment="0" applyProtection="0"/>
    <xf numFmtId="0" fontId="35" fillId="0" borderId="49" applyNumberFormat="0" applyFill="0" applyAlignment="0" applyProtection="0"/>
    <xf numFmtId="0" fontId="36" fillId="0" borderId="50" applyNumberFormat="0" applyFill="0" applyAlignment="0" applyProtection="0"/>
    <xf numFmtId="0" fontId="36" fillId="0" borderId="0" applyNumberFormat="0" applyFill="0" applyBorder="0" applyAlignment="0" applyProtection="0"/>
    <xf numFmtId="0" fontId="37" fillId="18" borderId="46" applyNumberFormat="0" applyAlignment="0" applyProtection="0"/>
    <xf numFmtId="0" fontId="38" fillId="0" borderId="51" applyNumberFormat="0" applyFill="0" applyAlignment="0" applyProtection="0"/>
    <xf numFmtId="0" fontId="39" fillId="33" borderId="0" applyNumberFormat="0" applyBorder="0" applyAlignment="0" applyProtection="0"/>
    <xf numFmtId="0" fontId="20" fillId="34" borderId="52" applyNumberFormat="0" applyFont="0" applyAlignment="0" applyProtection="0"/>
    <xf numFmtId="0" fontId="40" fillId="31" borderId="53" applyNumberFormat="0" applyAlignment="0" applyProtection="0"/>
    <xf numFmtId="0" fontId="41" fillId="0" borderId="0" applyNumberFormat="0" applyFill="0" applyBorder="0" applyAlignment="0" applyProtection="0"/>
    <xf numFmtId="0" fontId="42" fillId="0" borderId="54" applyNumberFormat="0" applyFill="0" applyAlignment="0" applyProtection="0"/>
    <xf numFmtId="0" fontId="43" fillId="0" borderId="0" applyNumberFormat="0" applyFill="0" applyBorder="0" applyAlignment="0" applyProtection="0"/>
    <xf numFmtId="0" fontId="43" fillId="35" borderId="55" applyFill="0"/>
    <xf numFmtId="0" fontId="27" fillId="0" borderId="0"/>
    <xf numFmtId="0" fontId="27" fillId="0" borderId="0"/>
    <xf numFmtId="0" fontId="44" fillId="0" borderId="0" applyNumberFormat="0" applyFont="0" applyFill="0" applyBorder="0" applyAlignment="0" applyProtection="0">
      <alignment vertical="top"/>
    </xf>
    <xf numFmtId="0" fontId="21" fillId="0" borderId="0"/>
    <xf numFmtId="171" fontId="27" fillId="0" borderId="0" applyFont="0" applyFill="0" applyBorder="0" applyAlignment="0" applyProtection="0"/>
    <xf numFmtId="0" fontId="26" fillId="0" borderId="0"/>
    <xf numFmtId="0" fontId="20" fillId="0" borderId="0"/>
    <xf numFmtId="0" fontId="45" fillId="0" borderId="0"/>
    <xf numFmtId="0" fontId="21" fillId="0" borderId="0"/>
    <xf numFmtId="0" fontId="45" fillId="0" borderId="0"/>
    <xf numFmtId="0" fontId="21" fillId="0" borderId="0"/>
    <xf numFmtId="0" fontId="21" fillId="0" borderId="0"/>
    <xf numFmtId="0" fontId="45" fillId="0" borderId="0"/>
    <xf numFmtId="0" fontId="45" fillId="0" borderId="0"/>
    <xf numFmtId="0" fontId="21" fillId="0" borderId="0"/>
    <xf numFmtId="0" fontId="21" fillId="0" borderId="0"/>
    <xf numFmtId="0" fontId="45" fillId="0" borderId="0"/>
    <xf numFmtId="0" fontId="21" fillId="0" borderId="0"/>
    <xf numFmtId="0" fontId="21" fillId="0" borderId="0"/>
    <xf numFmtId="0" fontId="21" fillId="0" borderId="0"/>
    <xf numFmtId="0" fontId="21" fillId="0" borderId="0"/>
    <xf numFmtId="0" fontId="45" fillId="0" borderId="0"/>
    <xf numFmtId="0" fontId="21" fillId="0" borderId="0"/>
    <xf numFmtId="0" fontId="21" fillId="0" borderId="0"/>
    <xf numFmtId="0" fontId="21" fillId="0" borderId="0"/>
    <xf numFmtId="170" fontId="46" fillId="0" borderId="0">
      <protection locked="0"/>
    </xf>
    <xf numFmtId="170" fontId="46" fillId="0" borderId="0">
      <protection locked="0"/>
    </xf>
    <xf numFmtId="170" fontId="46" fillId="0" borderId="0">
      <protection locked="0"/>
    </xf>
    <xf numFmtId="0" fontId="46" fillId="0" borderId="56">
      <protection locked="0"/>
    </xf>
    <xf numFmtId="0" fontId="47" fillId="0" borderId="0">
      <protection locked="0"/>
    </xf>
    <xf numFmtId="0" fontId="47" fillId="0" borderId="0">
      <protection locked="0"/>
    </xf>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0" borderId="0">
      <alignment horizontal="left" vertical="top"/>
    </xf>
    <xf numFmtId="38" fontId="50" fillId="0" borderId="0" applyFont="0" applyFill="0" applyBorder="0" applyAlignment="0" applyProtection="0"/>
    <xf numFmtId="172" fontId="51" fillId="0" borderId="0" applyFont="0" applyFill="0" applyBorder="0" applyAlignment="0" applyProtection="0"/>
    <xf numFmtId="173" fontId="50" fillId="0" borderId="0" applyFont="0" applyFill="0" applyBorder="0" applyAlignment="0" applyProtection="0"/>
    <xf numFmtId="174" fontId="51" fillId="0" borderId="0" applyFont="0" applyFill="0" applyBorder="0" applyAlignment="0" applyProtection="0"/>
    <xf numFmtId="0" fontId="49" fillId="0" borderId="0">
      <alignment vertical="top" wrapText="1"/>
    </xf>
    <xf numFmtId="1" fontId="52" fillId="0" borderId="0" applyNumberFormat="0" applyAlignment="0">
      <alignment vertical="top"/>
    </xf>
    <xf numFmtId="1" fontId="53" fillId="0" borderId="0" applyAlignment="0">
      <alignment vertical="top"/>
    </xf>
    <xf numFmtId="0" fontId="54" fillId="37" borderId="0"/>
    <xf numFmtId="0" fontId="55" fillId="38" borderId="0"/>
    <xf numFmtId="0" fontId="56" fillId="0" borderId="0"/>
    <xf numFmtId="175" fontId="44" fillId="0" borderId="0" applyFont="0" applyFill="0" applyBorder="0" applyAlignment="0" applyProtection="0"/>
    <xf numFmtId="172" fontId="44" fillId="0" borderId="0" applyFont="0" applyFill="0" applyBorder="0" applyAlignment="0" applyProtection="0"/>
    <xf numFmtId="176" fontId="44" fillId="0" borderId="0" applyFont="0" applyFill="0" applyBorder="0" applyAlignment="0" applyProtection="0"/>
    <xf numFmtId="174" fontId="44" fillId="0" borderId="0" applyFont="0" applyFill="0" applyBorder="0" applyAlignment="0" applyProtection="0"/>
    <xf numFmtId="0" fontId="51" fillId="0" borderId="0"/>
    <xf numFmtId="0" fontId="21" fillId="0" borderId="0"/>
    <xf numFmtId="177" fontId="57" fillId="0" borderId="0">
      <alignment horizontal="left"/>
    </xf>
    <xf numFmtId="4" fontId="58" fillId="0" borderId="0" applyFont="0" applyFill="0" applyBorder="0" applyProtection="0">
      <alignment horizontal="right" vertical="top" wrapText="1"/>
    </xf>
    <xf numFmtId="3" fontId="59" fillId="0" borderId="57" applyNumberFormat="0" applyAlignment="0">
      <alignment vertical="top"/>
    </xf>
    <xf numFmtId="1" fontId="60" fillId="0" borderId="0">
      <alignment horizontal="center" vertical="top" wrapText="1"/>
    </xf>
    <xf numFmtId="3" fontId="61" fillId="0" borderId="0" applyFont="0" applyFill="0" applyBorder="0" applyAlignment="0"/>
    <xf numFmtId="177" fontId="57" fillId="0" borderId="0">
      <alignment horizontal="left"/>
    </xf>
    <xf numFmtId="0" fontId="24" fillId="0" borderId="7">
      <alignment horizontal="center"/>
    </xf>
    <xf numFmtId="0" fontId="25" fillId="0" borderId="7">
      <alignment horizontal="center"/>
    </xf>
    <xf numFmtId="0" fontId="25" fillId="0" borderId="7">
      <alignment horizontal="center"/>
    </xf>
    <xf numFmtId="0" fontId="20" fillId="0" borderId="0">
      <alignment vertical="top"/>
    </xf>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30" borderId="0" applyNumberFormat="0" applyBorder="0" applyAlignment="0" applyProtection="0"/>
    <xf numFmtId="0" fontId="48" fillId="18" borderId="46" applyNumberFormat="0" applyAlignment="0" applyProtection="0"/>
    <xf numFmtId="0" fontId="24" fillId="0" borderId="7">
      <alignment horizontal="center"/>
    </xf>
    <xf numFmtId="0" fontId="25" fillId="0" borderId="7">
      <alignment horizontal="center"/>
    </xf>
    <xf numFmtId="0" fontId="25" fillId="0" borderId="7">
      <alignment horizontal="center"/>
    </xf>
    <xf numFmtId="0" fontId="24" fillId="0" borderId="0">
      <alignment vertical="top"/>
    </xf>
    <xf numFmtId="0" fontId="48" fillId="31" borderId="53" applyNumberFormat="0" applyAlignment="0" applyProtection="0"/>
    <xf numFmtId="0" fontId="48" fillId="31" borderId="46" applyNumberFormat="0" applyAlignment="0" applyProtection="0"/>
    <xf numFmtId="0" fontId="62" fillId="0" borderId="0" applyNumberFormat="0" applyFill="0" applyBorder="0" applyAlignment="0" applyProtection="0">
      <alignment vertical="top"/>
      <protection locked="0"/>
    </xf>
    <xf numFmtId="14" fontId="61" fillId="0" borderId="0">
      <alignment horizontal="right"/>
    </xf>
    <xf numFmtId="0" fontId="63" fillId="36" borderId="0" applyNumberFormat="0" applyBorder="0" applyProtection="0">
      <alignment horizontal="left" vertical="center"/>
    </xf>
    <xf numFmtId="0" fontId="48" fillId="0" borderId="48" applyNumberFormat="0" applyFill="0" applyAlignment="0" applyProtection="0"/>
    <xf numFmtId="0" fontId="48" fillId="0" borderId="49" applyNumberFormat="0" applyFill="0" applyAlignment="0" applyProtection="0"/>
    <xf numFmtId="0" fontId="48" fillId="0" borderId="50" applyNumberFormat="0" applyFill="0" applyAlignment="0" applyProtection="0"/>
    <xf numFmtId="0" fontId="48" fillId="0" borderId="0" applyNumberFormat="0" applyFill="0" applyBorder="0" applyAlignment="0" applyProtection="0"/>
    <xf numFmtId="0" fontId="20" fillId="0" borderId="0"/>
    <xf numFmtId="0" fontId="48" fillId="0" borderId="54" applyNumberFormat="0" applyFill="0" applyAlignment="0" applyProtection="0"/>
    <xf numFmtId="0" fontId="24" fillId="0" borderId="0">
      <alignment horizontal="right" vertical="top" wrapText="1"/>
    </xf>
    <xf numFmtId="0" fontId="24" fillId="0" borderId="0"/>
    <xf numFmtId="0" fontId="20" fillId="0" borderId="0"/>
    <xf numFmtId="0" fontId="20" fillId="0" borderId="0"/>
    <xf numFmtId="0" fontId="24" fillId="0" borderId="0"/>
    <xf numFmtId="0" fontId="20" fillId="0" borderId="0"/>
    <xf numFmtId="0" fontId="20" fillId="0" borderId="0"/>
    <xf numFmtId="0" fontId="48" fillId="32" borderId="47" applyNumberFormat="0" applyAlignment="0" applyProtection="0"/>
    <xf numFmtId="0" fontId="24" fillId="0" borderId="7">
      <alignment horizontal="center" wrapText="1"/>
    </xf>
    <xf numFmtId="0" fontId="25" fillId="0" borderId="7">
      <alignment horizontal="center" wrapText="1"/>
    </xf>
    <xf numFmtId="0" fontId="25" fillId="0" borderId="7">
      <alignment horizontal="center" wrapText="1"/>
    </xf>
    <xf numFmtId="0" fontId="20" fillId="0" borderId="0">
      <alignment vertical="top"/>
    </xf>
    <xf numFmtId="0" fontId="20" fillId="0" borderId="0"/>
    <xf numFmtId="0" fontId="48" fillId="0" borderId="0" applyNumberFormat="0" applyFill="0" applyBorder="0" applyAlignment="0" applyProtection="0"/>
    <xf numFmtId="0" fontId="48" fillId="33" borderId="0" applyNumberFormat="0" applyBorder="0" applyAlignment="0" applyProtection="0"/>
    <xf numFmtId="0" fontId="20" fillId="0" borderId="0"/>
    <xf numFmtId="0" fontId="20" fillId="0" borderId="0"/>
    <xf numFmtId="0" fontId="64" fillId="0" borderId="0"/>
    <xf numFmtId="0" fontId="20" fillId="0" borderId="0"/>
    <xf numFmtId="0" fontId="20" fillId="0" borderId="0"/>
    <xf numFmtId="0" fontId="64"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65" fillId="0" borderId="0"/>
    <xf numFmtId="0" fontId="65" fillId="0" borderId="0"/>
    <xf numFmtId="0" fontId="27" fillId="0" borderId="0"/>
    <xf numFmtId="0" fontId="27" fillId="0" borderId="0"/>
    <xf numFmtId="0" fontId="27" fillId="0" borderId="0"/>
    <xf numFmtId="0" fontId="20" fillId="0" borderId="0"/>
    <xf numFmtId="0" fontId="27" fillId="0" borderId="0"/>
    <xf numFmtId="0" fontId="27" fillId="0" borderId="0"/>
    <xf numFmtId="0" fontId="20" fillId="0" borderId="0"/>
    <xf numFmtId="0" fontId="48"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64" fillId="0" borderId="0"/>
    <xf numFmtId="0" fontId="20" fillId="0" borderId="0"/>
    <xf numFmtId="0" fontId="27" fillId="0" borderId="0"/>
    <xf numFmtId="0" fontId="20" fillId="0" borderId="0"/>
    <xf numFmtId="0" fontId="64"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48"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 fontId="66" fillId="0" borderId="0"/>
    <xf numFmtId="3" fontId="66" fillId="0" borderId="0"/>
    <xf numFmtId="3" fontId="61" fillId="0" borderId="0"/>
    <xf numFmtId="0" fontId="20" fillId="0" borderId="0"/>
    <xf numFmtId="3" fontId="67" fillId="0" borderId="0"/>
    <xf numFmtId="0" fontId="20" fillId="0" borderId="0"/>
    <xf numFmtId="0" fontId="48" fillId="0" borderId="0"/>
    <xf numFmtId="0" fontId="48" fillId="0" borderId="0"/>
    <xf numFmtId="0" fontId="20" fillId="0" borderId="0"/>
    <xf numFmtId="0" fontId="48" fillId="0" borderId="0"/>
    <xf numFmtId="0" fontId="20" fillId="0" borderId="0"/>
    <xf numFmtId="0" fontId="48"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48" fillId="0" borderId="0"/>
    <xf numFmtId="0" fontId="48" fillId="0" borderId="0"/>
    <xf numFmtId="0" fontId="20" fillId="0" borderId="0"/>
    <xf numFmtId="0" fontId="20" fillId="0" borderId="0"/>
    <xf numFmtId="0" fontId="20" fillId="0" borderId="0"/>
    <xf numFmtId="0" fontId="20" fillId="0" borderId="0"/>
    <xf numFmtId="0" fontId="20" fillId="0" borderId="0"/>
    <xf numFmtId="3" fontId="61"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8"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applyNumberFormat="0" applyFon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7">
      <alignment horizontal="center" wrapText="1"/>
    </xf>
    <xf numFmtId="0" fontId="25" fillId="0" borderId="7">
      <alignment horizontal="center" wrapText="1"/>
    </xf>
    <xf numFmtId="0" fontId="25" fillId="0" borderId="7">
      <alignment horizontal="center" wrapText="1"/>
    </xf>
    <xf numFmtId="0" fontId="48" fillId="14" borderId="0" applyNumberFormat="0" applyBorder="0" applyAlignment="0" applyProtection="0"/>
    <xf numFmtId="0" fontId="48" fillId="0" borderId="0" applyNumberFormat="0" applyFill="0" applyBorder="0" applyAlignment="0" applyProtection="0"/>
    <xf numFmtId="0" fontId="20" fillId="34" borderId="52" applyNumberFormat="0" applyFont="0" applyAlignment="0" applyProtection="0"/>
    <xf numFmtId="0" fontId="24" fillId="0" borderId="7">
      <alignment horizontal="center"/>
    </xf>
    <xf numFmtId="0" fontId="25" fillId="0" borderId="7">
      <alignment horizontal="center"/>
    </xf>
    <xf numFmtId="0" fontId="25" fillId="0" borderId="7">
      <alignment horizontal="center"/>
    </xf>
    <xf numFmtId="0" fontId="24" fillId="0" borderId="7">
      <alignment horizontal="center" wrapText="1"/>
    </xf>
    <xf numFmtId="0" fontId="25" fillId="0" borderId="7">
      <alignment horizontal="center" wrapText="1"/>
    </xf>
    <xf numFmtId="0" fontId="25" fillId="0" borderId="7">
      <alignment horizontal="center" wrapText="1"/>
    </xf>
    <xf numFmtId="0" fontId="20" fillId="0" borderId="0"/>
    <xf numFmtId="0" fontId="48" fillId="0" borderId="51" applyNumberFormat="0" applyFill="0" applyAlignment="0" applyProtection="0"/>
    <xf numFmtId="0" fontId="20" fillId="0" borderId="0">
      <alignment vertical="justify"/>
    </xf>
    <xf numFmtId="0" fontId="48" fillId="0" borderId="0" applyNumberFormat="0" applyFill="0" applyBorder="0" applyAlignment="0" applyProtection="0"/>
    <xf numFmtId="0" fontId="24" fillId="0" borderId="0">
      <alignment horizontal="center"/>
    </xf>
    <xf numFmtId="0" fontId="69" fillId="0" borderId="0">
      <alignment horizontal="center"/>
    </xf>
    <xf numFmtId="0" fontId="69" fillId="0" borderId="0">
      <alignment horizontal="center"/>
    </xf>
    <xf numFmtId="0" fontId="24" fillId="0" borderId="0">
      <alignment horizontal="center"/>
    </xf>
    <xf numFmtId="178" fontId="20" fillId="0" borderId="0" applyFont="0" applyFill="0" applyBorder="0" applyAlignment="0" applyProtection="0"/>
    <xf numFmtId="179"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4" fillId="0" borderId="0">
      <alignment horizontal="left" vertical="top"/>
    </xf>
    <xf numFmtId="0" fontId="48" fillId="15" borderId="0" applyNumberFormat="0" applyBorder="0" applyAlignment="0" applyProtection="0"/>
    <xf numFmtId="170" fontId="46" fillId="0" borderId="0">
      <protection locked="0"/>
    </xf>
    <xf numFmtId="0" fontId="24"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24" fillId="0" borderId="58">
      <alignment horizontal="center"/>
    </xf>
    <xf numFmtId="0" fontId="25" fillId="0" borderId="58">
      <alignment horizontal="center"/>
    </xf>
    <xf numFmtId="0" fontId="24" fillId="0" borderId="58">
      <alignment horizontal="center"/>
    </xf>
    <xf numFmtId="0" fontId="25" fillId="0" borderId="58">
      <alignment horizontal="center"/>
    </xf>
    <xf numFmtId="0" fontId="24" fillId="0" borderId="58">
      <alignment horizontal="center" wrapText="1"/>
    </xf>
    <xf numFmtId="0" fontId="25" fillId="0" borderId="58">
      <alignment horizontal="center" wrapText="1"/>
    </xf>
    <xf numFmtId="0" fontId="24" fillId="0" borderId="58">
      <alignment horizontal="center" wrapText="1"/>
    </xf>
    <xf numFmtId="0" fontId="25" fillId="0" borderId="58">
      <alignment horizontal="center" wrapText="1"/>
    </xf>
    <xf numFmtId="0" fontId="24" fillId="0" borderId="58">
      <alignment horizontal="center"/>
    </xf>
    <xf numFmtId="0" fontId="25" fillId="0" borderId="58">
      <alignment horizontal="center"/>
    </xf>
    <xf numFmtId="0" fontId="24" fillId="0" borderId="58">
      <alignment horizontal="center" wrapText="1"/>
    </xf>
    <xf numFmtId="0" fontId="25" fillId="0" borderId="58">
      <alignment horizontal="center" wrapText="1"/>
    </xf>
    <xf numFmtId="0" fontId="24" fillId="0" borderId="59">
      <alignment horizontal="center"/>
    </xf>
    <xf numFmtId="0" fontId="25" fillId="0" borderId="59">
      <alignment horizontal="center"/>
    </xf>
    <xf numFmtId="0" fontId="25" fillId="0" borderId="59">
      <alignment horizontal="center"/>
    </xf>
    <xf numFmtId="0" fontId="24" fillId="0" borderId="59">
      <alignment horizontal="center"/>
    </xf>
    <xf numFmtId="0" fontId="24" fillId="0" borderId="59">
      <alignment horizontal="center" wrapText="1"/>
    </xf>
    <xf numFmtId="0" fontId="25" fillId="0" borderId="59">
      <alignment horizontal="center" wrapText="1"/>
    </xf>
    <xf numFmtId="0" fontId="25" fillId="0" borderId="59">
      <alignment horizontal="center" wrapText="1"/>
    </xf>
    <xf numFmtId="0" fontId="24" fillId="0" borderId="59">
      <alignment horizontal="center" wrapText="1"/>
    </xf>
    <xf numFmtId="0" fontId="48" fillId="31" borderId="60" applyNumberFormat="0" applyAlignment="0" applyProtection="0"/>
    <xf numFmtId="0" fontId="48" fillId="18" borderId="60" applyNumberFormat="0" applyAlignment="0" applyProtection="0"/>
    <xf numFmtId="0" fontId="25" fillId="0" borderId="59">
      <alignment horizontal="center"/>
    </xf>
    <xf numFmtId="0" fontId="24" fillId="0" borderId="59">
      <alignment horizontal="center"/>
    </xf>
    <xf numFmtId="0" fontId="24" fillId="0" borderId="59">
      <alignment horizontal="center" wrapText="1"/>
    </xf>
    <xf numFmtId="0" fontId="25" fillId="0" borderId="59">
      <alignment horizontal="center" wrapText="1"/>
    </xf>
    <xf numFmtId="0" fontId="25" fillId="0" borderId="59">
      <alignment horizontal="center" wrapText="1"/>
    </xf>
    <xf numFmtId="0" fontId="24" fillId="0" borderId="59">
      <alignment horizontal="center" wrapText="1"/>
    </xf>
    <xf numFmtId="0" fontId="24" fillId="0" borderId="59">
      <alignment horizontal="center"/>
    </xf>
    <xf numFmtId="0" fontId="25" fillId="0" borderId="59">
      <alignment horizontal="center"/>
    </xf>
    <xf numFmtId="0" fontId="25" fillId="0" borderId="59">
      <alignment horizontal="center"/>
    </xf>
    <xf numFmtId="0" fontId="24" fillId="0" borderId="59">
      <alignment horizontal="center"/>
    </xf>
    <xf numFmtId="0" fontId="24" fillId="0" borderId="59">
      <alignment horizontal="center" wrapText="1"/>
    </xf>
    <xf numFmtId="0" fontId="25" fillId="0" borderId="59">
      <alignment horizontal="center" wrapText="1"/>
    </xf>
    <xf numFmtId="0" fontId="25" fillId="0" borderId="59">
      <alignment horizontal="center" wrapText="1"/>
    </xf>
    <xf numFmtId="0" fontId="24" fillId="0" borderId="59">
      <alignment horizontal="center" wrapText="1"/>
    </xf>
    <xf numFmtId="0" fontId="20" fillId="34" borderId="61" applyNumberFormat="0" applyFont="0" applyAlignment="0" applyProtection="0"/>
    <xf numFmtId="0" fontId="37" fillId="18" borderId="60" applyNumberFormat="0" applyAlignment="0" applyProtection="0"/>
    <xf numFmtId="0" fontId="30" fillId="31" borderId="60" applyNumberFormat="0" applyAlignment="0" applyProtection="0"/>
    <xf numFmtId="44" fontId="17" fillId="0" borderId="0" applyFont="0" applyFill="0" applyBorder="0" applyAlignment="0" applyProtection="0"/>
    <xf numFmtId="164" fontId="17" fillId="0" borderId="0" applyFont="0" applyFill="0" applyBorder="0" applyAlignment="0" applyProtection="0"/>
    <xf numFmtId="0" fontId="17" fillId="0" borderId="0"/>
    <xf numFmtId="0" fontId="68" fillId="0" borderId="0"/>
    <xf numFmtId="0" fontId="20" fillId="34" borderId="61" applyNumberFormat="0" applyFont="0" applyAlignment="0" applyProtection="0"/>
    <xf numFmtId="0" fontId="68" fillId="0" borderId="0"/>
    <xf numFmtId="9" fontId="17" fillId="0" borderId="0" applyFont="0" applyFill="0" applyBorder="0" applyAlignment="0" applyProtection="0"/>
    <xf numFmtId="0" fontId="24" fillId="0" borderId="58">
      <alignment horizontal="center"/>
    </xf>
    <xf numFmtId="0" fontId="25" fillId="0" borderId="58">
      <alignment horizontal="center"/>
    </xf>
    <xf numFmtId="0" fontId="25" fillId="0" borderId="58">
      <alignment horizontal="center"/>
    </xf>
    <xf numFmtId="0" fontId="24" fillId="0" borderId="58">
      <alignment horizontal="center"/>
    </xf>
    <xf numFmtId="0" fontId="24" fillId="0" borderId="58">
      <alignment horizontal="center" wrapText="1"/>
    </xf>
    <xf numFmtId="0" fontId="25" fillId="0" borderId="58">
      <alignment horizontal="center" wrapText="1"/>
    </xf>
    <xf numFmtId="0" fontId="25" fillId="0" borderId="58">
      <alignment horizontal="center" wrapText="1"/>
    </xf>
    <xf numFmtId="0" fontId="24" fillId="0" borderId="58">
      <alignment horizontal="center" wrapText="1"/>
    </xf>
    <xf numFmtId="0" fontId="24" fillId="0" borderId="58">
      <alignment horizontal="center" wrapText="1"/>
    </xf>
    <xf numFmtId="0" fontId="25" fillId="0" borderId="58">
      <alignment horizontal="center" wrapText="1"/>
    </xf>
    <xf numFmtId="0" fontId="25" fillId="0" borderId="58">
      <alignment horizontal="center" wrapText="1"/>
    </xf>
    <xf numFmtId="0" fontId="24" fillId="0" borderId="58">
      <alignment horizontal="center" wrapText="1"/>
    </xf>
    <xf numFmtId="0" fontId="24" fillId="0" borderId="58">
      <alignment horizontal="center"/>
    </xf>
    <xf numFmtId="0" fontId="25" fillId="0" borderId="58">
      <alignment horizontal="center"/>
    </xf>
    <xf numFmtId="0" fontId="25" fillId="0" borderId="58">
      <alignment horizontal="center"/>
    </xf>
    <xf numFmtId="0" fontId="24" fillId="0" borderId="58">
      <alignment horizontal="center"/>
    </xf>
    <xf numFmtId="0" fontId="24" fillId="0" borderId="58">
      <alignment horizontal="center" wrapText="1"/>
    </xf>
    <xf numFmtId="0" fontId="25" fillId="0" borderId="58">
      <alignment horizontal="center" wrapText="1"/>
    </xf>
    <xf numFmtId="0" fontId="25" fillId="0" borderId="58">
      <alignment horizontal="center" wrapText="1"/>
    </xf>
    <xf numFmtId="0" fontId="24" fillId="0" borderId="58">
      <alignment horizontal="center" wrapText="1"/>
    </xf>
    <xf numFmtId="0" fontId="68" fillId="0" borderId="0"/>
    <xf numFmtId="0" fontId="40" fillId="31" borderId="62" applyNumberFormat="0" applyAlignment="0" applyProtection="0"/>
    <xf numFmtId="0" fontId="42" fillId="0" borderId="63" applyNumberFormat="0" applyFill="0" applyAlignment="0" applyProtection="0"/>
    <xf numFmtId="0" fontId="48" fillId="31" borderId="62" applyNumberFormat="0" applyAlignment="0" applyProtection="0"/>
    <xf numFmtId="0" fontId="48" fillId="0" borderId="63" applyNumberFormat="0" applyFill="0" applyAlignment="0" applyProtection="0"/>
    <xf numFmtId="0" fontId="68" fillId="0" borderId="0"/>
    <xf numFmtId="44" fontId="17" fillId="0" borderId="0" applyFont="0" applyFill="0" applyBorder="0" applyAlignment="0" applyProtection="0"/>
    <xf numFmtId="0" fontId="30" fillId="31" borderId="69" applyNumberFormat="0" applyAlignment="0" applyProtection="0"/>
    <xf numFmtId="0" fontId="37" fillId="18" borderId="69" applyNumberFormat="0" applyAlignment="0" applyProtection="0"/>
    <xf numFmtId="0" fontId="20" fillId="34" borderId="70" applyNumberFormat="0" applyFont="0" applyAlignment="0" applyProtection="0"/>
    <xf numFmtId="0" fontId="40" fillId="31" borderId="71" applyNumberFormat="0" applyAlignment="0" applyProtection="0"/>
    <xf numFmtId="0" fontId="42" fillId="0" borderId="72" applyNumberFormat="0" applyFill="0" applyAlignment="0" applyProtection="0"/>
    <xf numFmtId="0" fontId="43" fillId="35" borderId="73" applyFill="0"/>
    <xf numFmtId="0" fontId="42" fillId="0" borderId="84" applyNumberFormat="0" applyFill="0" applyAlignment="0" applyProtection="0"/>
    <xf numFmtId="0" fontId="20" fillId="34" borderId="82" applyNumberFormat="0" applyFont="0" applyAlignment="0" applyProtection="0"/>
    <xf numFmtId="0" fontId="24" fillId="0" borderId="67">
      <alignment horizontal="center"/>
    </xf>
    <xf numFmtId="0" fontId="25" fillId="0" borderId="67">
      <alignment horizontal="center"/>
    </xf>
    <xf numFmtId="0" fontId="48" fillId="18" borderId="69" applyNumberFormat="0" applyAlignment="0" applyProtection="0"/>
    <xf numFmtId="0" fontId="24" fillId="0" borderId="67">
      <alignment horizontal="center"/>
    </xf>
    <xf numFmtId="0" fontId="25" fillId="0" borderId="67">
      <alignment horizontal="center"/>
    </xf>
    <xf numFmtId="0" fontId="48" fillId="31" borderId="71" applyNumberFormat="0" applyAlignment="0" applyProtection="0"/>
    <xf numFmtId="0" fontId="48" fillId="31" borderId="69" applyNumberFormat="0" applyAlignment="0" applyProtection="0"/>
    <xf numFmtId="0" fontId="48" fillId="0" borderId="72" applyNumberFormat="0" applyFill="0" applyAlignment="0" applyProtection="0"/>
    <xf numFmtId="0" fontId="24" fillId="0" borderId="67">
      <alignment horizontal="center" wrapText="1"/>
    </xf>
    <xf numFmtId="0" fontId="25" fillId="0" borderId="67">
      <alignment horizontal="center" wrapText="1"/>
    </xf>
    <xf numFmtId="0" fontId="48" fillId="0" borderId="84" applyNumberFormat="0" applyFill="0" applyAlignment="0" applyProtection="0"/>
    <xf numFmtId="0" fontId="48" fillId="0" borderId="81" applyNumberFormat="0" applyFill="0" applyAlignment="0" applyProtection="0"/>
    <xf numFmtId="0" fontId="48" fillId="31" borderId="80" applyNumberFormat="0" applyAlignment="0" applyProtection="0"/>
    <xf numFmtId="0" fontId="48" fillId="31" borderId="83" applyNumberFormat="0" applyAlignment="0" applyProtection="0"/>
    <xf numFmtId="0" fontId="48" fillId="18" borderId="80" applyNumberFormat="0" applyAlignment="0" applyProtection="0"/>
    <xf numFmtId="0" fontId="24" fillId="0" borderId="67">
      <alignment horizontal="center" wrapText="1"/>
    </xf>
    <xf numFmtId="0" fontId="25" fillId="0" borderId="67">
      <alignment horizontal="center" wrapText="1"/>
    </xf>
    <xf numFmtId="0" fontId="20" fillId="34" borderId="70" applyNumberFormat="0" applyFont="0" applyAlignment="0" applyProtection="0"/>
    <xf numFmtId="0" fontId="24" fillId="0" borderId="67">
      <alignment horizontal="center"/>
    </xf>
    <xf numFmtId="0" fontId="25" fillId="0" borderId="67">
      <alignment horizontal="center"/>
    </xf>
    <xf numFmtId="0" fontId="24" fillId="0" borderId="67">
      <alignment horizontal="center" wrapText="1"/>
    </xf>
    <xf numFmtId="0" fontId="25" fillId="0" borderId="67">
      <alignment horizontal="center" wrapText="1"/>
    </xf>
    <xf numFmtId="0" fontId="43" fillId="35" borderId="85" applyFill="0"/>
    <xf numFmtId="0" fontId="40" fillId="31" borderId="83" applyNumberFormat="0" applyAlignment="0" applyProtection="0"/>
    <xf numFmtId="0" fontId="20" fillId="34" borderId="82" applyNumberFormat="0" applyFont="0" applyAlignment="0" applyProtection="0"/>
    <xf numFmtId="0" fontId="37" fillId="18" borderId="80" applyNumberFormat="0" applyAlignment="0" applyProtection="0"/>
    <xf numFmtId="0" fontId="36" fillId="0" borderId="81" applyNumberFormat="0" applyFill="0" applyAlignment="0" applyProtection="0"/>
    <xf numFmtId="0" fontId="30" fillId="31" borderId="80" applyNumberFormat="0" applyAlignment="0" applyProtection="0"/>
    <xf numFmtId="44" fontId="20" fillId="0" borderId="0" applyFont="0" applyFill="0" applyBorder="0" applyAlignment="0" applyProtection="0"/>
    <xf numFmtId="0" fontId="24" fillId="0" borderId="67">
      <alignment horizontal="center"/>
    </xf>
    <xf numFmtId="0" fontId="25" fillId="0" borderId="67">
      <alignment horizontal="center"/>
    </xf>
    <xf numFmtId="0" fontId="24" fillId="0" borderId="67">
      <alignment horizontal="center"/>
    </xf>
    <xf numFmtId="0" fontId="25" fillId="0" borderId="67">
      <alignment horizontal="center"/>
    </xf>
    <xf numFmtId="0" fontId="24" fillId="0" borderId="67">
      <alignment horizontal="center" wrapText="1"/>
    </xf>
    <xf numFmtId="0" fontId="25" fillId="0" borderId="67">
      <alignment horizontal="center" wrapText="1"/>
    </xf>
    <xf numFmtId="0" fontId="24" fillId="0" borderId="67">
      <alignment horizontal="center" wrapText="1"/>
    </xf>
    <xf numFmtId="0" fontId="25" fillId="0" borderId="67">
      <alignment horizontal="center" wrapText="1"/>
    </xf>
    <xf numFmtId="0" fontId="24" fillId="0" borderId="67">
      <alignment horizontal="center"/>
    </xf>
    <xf numFmtId="0" fontId="25" fillId="0" borderId="67">
      <alignment horizontal="center"/>
    </xf>
    <xf numFmtId="0" fontId="24" fillId="0" borderId="67">
      <alignment horizontal="center" wrapText="1"/>
    </xf>
    <xf numFmtId="0" fontId="25" fillId="0" borderId="67">
      <alignment horizontal="center" wrapText="1"/>
    </xf>
    <xf numFmtId="0" fontId="24" fillId="0" borderId="67">
      <alignment horizontal="center"/>
    </xf>
    <xf numFmtId="0" fontId="25" fillId="0" borderId="67">
      <alignment horizontal="center"/>
    </xf>
    <xf numFmtId="0" fontId="25" fillId="0" borderId="67">
      <alignment horizontal="center"/>
    </xf>
    <xf numFmtId="0" fontId="24" fillId="0" borderId="67">
      <alignment horizontal="center"/>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48" fillId="31" borderId="74" applyNumberFormat="0" applyAlignment="0" applyProtection="0"/>
    <xf numFmtId="0" fontId="48" fillId="18" borderId="74" applyNumberFormat="0" applyAlignment="0" applyProtection="0"/>
    <xf numFmtId="0" fontId="25" fillId="0" borderId="67">
      <alignment horizontal="center"/>
    </xf>
    <xf numFmtId="0" fontId="24" fillId="0" borderId="67">
      <alignment horizontal="center"/>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24" fillId="0" borderId="67">
      <alignment horizontal="center"/>
    </xf>
    <xf numFmtId="0" fontId="25" fillId="0" borderId="67">
      <alignment horizontal="center"/>
    </xf>
    <xf numFmtId="0" fontId="25" fillId="0" borderId="67">
      <alignment horizontal="center"/>
    </xf>
    <xf numFmtId="0" fontId="24" fillId="0" borderId="67">
      <alignment horizontal="center"/>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20" fillId="34" borderId="75" applyNumberFormat="0" applyFont="0" applyAlignment="0" applyProtection="0"/>
    <xf numFmtId="0" fontId="37" fillId="18" borderId="74" applyNumberFormat="0" applyAlignment="0" applyProtection="0"/>
    <xf numFmtId="0" fontId="30" fillId="31" borderId="74" applyNumberFormat="0" applyAlignment="0" applyProtection="0"/>
    <xf numFmtId="44" fontId="17" fillId="0" borderId="0" applyFont="0" applyFill="0" applyBorder="0" applyAlignment="0" applyProtection="0"/>
    <xf numFmtId="0" fontId="20" fillId="34" borderId="75" applyNumberFormat="0" applyFont="0" applyAlignment="0" applyProtection="0"/>
    <xf numFmtId="0" fontId="24" fillId="0" borderId="67">
      <alignment horizontal="center"/>
    </xf>
    <xf numFmtId="0" fontId="25" fillId="0" borderId="67">
      <alignment horizontal="center"/>
    </xf>
    <xf numFmtId="0" fontId="25" fillId="0" borderId="67">
      <alignment horizontal="center"/>
    </xf>
    <xf numFmtId="0" fontId="24" fillId="0" borderId="67">
      <alignment horizontal="center"/>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24" fillId="0" borderId="67">
      <alignment horizontal="center"/>
    </xf>
    <xf numFmtId="0" fontId="25" fillId="0" borderId="67">
      <alignment horizontal="center"/>
    </xf>
    <xf numFmtId="0" fontId="25" fillId="0" borderId="67">
      <alignment horizontal="center"/>
    </xf>
    <xf numFmtId="0" fontId="24" fillId="0" borderId="67">
      <alignment horizontal="center"/>
    </xf>
    <xf numFmtId="0" fontId="24" fillId="0" borderId="67">
      <alignment horizontal="center" wrapText="1"/>
    </xf>
    <xf numFmtId="0" fontId="25" fillId="0" borderId="67">
      <alignment horizontal="center" wrapText="1"/>
    </xf>
    <xf numFmtId="0" fontId="25" fillId="0" borderId="67">
      <alignment horizontal="center" wrapText="1"/>
    </xf>
    <xf numFmtId="0" fontId="24" fillId="0" borderId="67">
      <alignment horizontal="center" wrapText="1"/>
    </xf>
    <xf numFmtId="0" fontId="40" fillId="31" borderId="76" applyNumberFormat="0" applyAlignment="0" applyProtection="0"/>
    <xf numFmtId="0" fontId="42" fillId="0" borderId="77" applyNumberFormat="0" applyFill="0" applyAlignment="0" applyProtection="0"/>
    <xf numFmtId="0" fontId="48" fillId="31" borderId="76" applyNumberFormat="0" applyAlignment="0" applyProtection="0"/>
    <xf numFmtId="0" fontId="48" fillId="0" borderId="77" applyNumberFormat="0" applyFill="0" applyAlignment="0" applyProtection="0"/>
    <xf numFmtId="44" fontId="17" fillId="0" borderId="0" applyFont="0" applyFill="0" applyBorder="0" applyAlignment="0" applyProtection="0"/>
    <xf numFmtId="0" fontId="25" fillId="0" borderId="78">
      <alignment horizontal="center"/>
    </xf>
    <xf numFmtId="0" fontId="25" fillId="0" borderId="78">
      <alignment horizontal="center"/>
    </xf>
    <xf numFmtId="0" fontId="24" fillId="0" borderId="78">
      <alignment horizontal="center"/>
    </xf>
    <xf numFmtId="0" fontId="37" fillId="18" borderId="74" applyNumberFormat="0" applyAlignment="0" applyProtection="0"/>
    <xf numFmtId="0" fontId="20" fillId="34" borderId="75" applyNumberFormat="0" applyFont="0" applyAlignment="0" applyProtection="0"/>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xf>
    <xf numFmtId="0" fontId="25" fillId="0" borderId="78">
      <alignment horizontal="center"/>
    </xf>
    <xf numFmtId="0" fontId="25" fillId="0" borderId="78">
      <alignment horizontal="center" wrapText="1"/>
    </xf>
    <xf numFmtId="0" fontId="24"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wrapText="1"/>
    </xf>
    <xf numFmtId="0" fontId="36" fillId="0" borderId="50" applyNumberFormat="0" applyFill="0" applyAlignment="0" applyProtection="0"/>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xf>
    <xf numFmtId="0" fontId="25" fillId="0" borderId="78">
      <alignment horizontal="center"/>
    </xf>
    <xf numFmtId="0" fontId="48" fillId="18" borderId="74" applyNumberFormat="0" applyAlignment="0" applyProtection="0"/>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xf>
    <xf numFmtId="0" fontId="24" fillId="0" borderId="78">
      <alignment horizontal="center"/>
    </xf>
    <xf numFmtId="0" fontId="25" fillId="0" borderId="78">
      <alignment horizontal="center"/>
    </xf>
    <xf numFmtId="0" fontId="24" fillId="0" borderId="78">
      <alignment horizontal="center"/>
    </xf>
    <xf numFmtId="0" fontId="20" fillId="34" borderId="75" applyNumberFormat="0" applyFont="0" applyAlignment="0" applyProtection="0"/>
    <xf numFmtId="0" fontId="30" fillId="31" borderId="74" applyNumberFormat="0" applyAlignment="0" applyProtection="0"/>
    <xf numFmtId="0" fontId="24" fillId="0" borderId="78">
      <alignment horizontal="center" wrapText="1"/>
    </xf>
    <xf numFmtId="0" fontId="25" fillId="0" borderId="78">
      <alignment horizontal="center"/>
    </xf>
    <xf numFmtId="0" fontId="24" fillId="0" borderId="78">
      <alignment horizontal="center"/>
    </xf>
    <xf numFmtId="0" fontId="20" fillId="34" borderId="75" applyNumberFormat="0" applyFont="0" applyAlignment="0" applyProtection="0"/>
    <xf numFmtId="0" fontId="25"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wrapText="1"/>
    </xf>
    <xf numFmtId="0" fontId="24" fillId="0" borderId="78">
      <alignment horizontal="center"/>
    </xf>
    <xf numFmtId="0" fontId="25" fillId="0" borderId="78">
      <alignment horizontal="center"/>
    </xf>
    <xf numFmtId="0" fontId="24" fillId="0" borderId="78">
      <alignment horizontal="center"/>
    </xf>
    <xf numFmtId="0" fontId="25" fillId="0" borderId="78">
      <alignment horizontal="center"/>
    </xf>
    <xf numFmtId="0" fontId="24" fillId="0" borderId="78">
      <alignment horizontal="center"/>
    </xf>
    <xf numFmtId="0" fontId="25" fillId="0" borderId="78">
      <alignment horizontal="center"/>
    </xf>
    <xf numFmtId="0" fontId="24" fillId="0" borderId="78">
      <alignment horizontal="center"/>
    </xf>
    <xf numFmtId="0" fontId="20" fillId="34" borderId="75" applyNumberFormat="0" applyFont="0" applyAlignment="0" applyProtection="0"/>
    <xf numFmtId="0" fontId="48" fillId="0" borderId="50" applyNumberFormat="0" applyFill="0" applyAlignment="0" applyProtection="0"/>
    <xf numFmtId="0" fontId="24"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48" fillId="0" borderId="77" applyNumberFormat="0" applyFill="0" applyAlignment="0" applyProtection="0"/>
    <xf numFmtId="0" fontId="48" fillId="31" borderId="74" applyNumberFormat="0" applyAlignment="0" applyProtection="0"/>
    <xf numFmtId="0" fontId="48" fillId="31" borderId="76" applyNumberFormat="0" applyAlignment="0" applyProtection="0"/>
    <xf numFmtId="0" fontId="25" fillId="0" borderId="78">
      <alignment horizontal="center"/>
    </xf>
    <xf numFmtId="0" fontId="24" fillId="0" borderId="78">
      <alignment horizontal="center"/>
    </xf>
    <xf numFmtId="0" fontId="48" fillId="18" borderId="74" applyNumberFormat="0" applyAlignment="0" applyProtection="0"/>
    <xf numFmtId="0" fontId="25" fillId="0" borderId="78">
      <alignment horizontal="center"/>
    </xf>
    <xf numFmtId="0" fontId="24" fillId="0" borderId="78">
      <alignment horizontal="center"/>
    </xf>
    <xf numFmtId="0" fontId="48" fillId="0" borderId="77" applyNumberFormat="0" applyFill="0" applyAlignment="0" applyProtection="0"/>
    <xf numFmtId="0" fontId="48" fillId="0" borderId="50" applyNumberFormat="0" applyFill="0" applyAlignment="0" applyProtection="0"/>
    <xf numFmtId="0" fontId="48" fillId="31" borderId="76" applyNumberFormat="0" applyAlignment="0" applyProtection="0"/>
    <xf numFmtId="0" fontId="24" fillId="0" borderId="78">
      <alignment horizontal="center" wrapText="1"/>
    </xf>
    <xf numFmtId="0" fontId="43" fillId="35" borderId="73" applyFill="0"/>
    <xf numFmtId="0" fontId="24" fillId="0" borderId="78">
      <alignment horizontal="center" wrapText="1"/>
    </xf>
    <xf numFmtId="0" fontId="25" fillId="0" borderId="78">
      <alignment horizontal="center" wrapText="1"/>
    </xf>
    <xf numFmtId="0" fontId="42" fillId="0" borderId="77" applyNumberFormat="0" applyFill="0" applyAlignment="0" applyProtection="0"/>
    <xf numFmtId="0" fontId="24" fillId="0" borderId="78">
      <alignment horizontal="center"/>
    </xf>
    <xf numFmtId="0" fontId="25" fillId="0" borderId="78">
      <alignment horizontal="center"/>
    </xf>
    <xf numFmtId="0" fontId="24"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xf>
    <xf numFmtId="0" fontId="43" fillId="35" borderId="73" applyFill="0"/>
    <xf numFmtId="0" fontId="42" fillId="0" borderId="77" applyNumberFormat="0" applyFill="0" applyAlignment="0" applyProtection="0"/>
    <xf numFmtId="0" fontId="40" fillId="31" borderId="76" applyNumberFormat="0" applyAlignment="0" applyProtection="0"/>
    <xf numFmtId="0" fontId="20" fillId="34" borderId="75" applyNumberFormat="0" applyFont="0" applyAlignment="0" applyProtection="0"/>
    <xf numFmtId="0" fontId="37" fillId="18" borderId="74" applyNumberFormat="0" applyAlignment="0" applyProtection="0"/>
    <xf numFmtId="0" fontId="25" fillId="0" borderId="78">
      <alignment horizontal="center" wrapText="1"/>
    </xf>
    <xf numFmtId="0" fontId="30" fillId="31" borderId="74" applyNumberFormat="0" applyAlignment="0" applyProtection="0"/>
    <xf numFmtId="0" fontId="24" fillId="0" borderId="78">
      <alignment horizontal="center"/>
    </xf>
    <xf numFmtId="0" fontId="25" fillId="0" borderId="78">
      <alignment horizontal="center"/>
    </xf>
    <xf numFmtId="0" fontId="40" fillId="31" borderId="76" applyNumberFormat="0" applyAlignment="0" applyProtection="0"/>
    <xf numFmtId="0" fontId="20" fillId="34" borderId="75" applyNumberFormat="0" applyFont="0" applyAlignment="0" applyProtection="0"/>
    <xf numFmtId="0" fontId="24" fillId="0" borderId="78">
      <alignment horizontal="center"/>
    </xf>
    <xf numFmtId="0" fontId="24" fillId="0" borderId="78">
      <alignment horizontal="center" wrapText="1"/>
    </xf>
    <xf numFmtId="0" fontId="48" fillId="31" borderId="74" applyNumberFormat="0" applyAlignment="0" applyProtection="0"/>
    <xf numFmtId="0" fontId="25" fillId="0" borderId="78">
      <alignment horizontal="center"/>
    </xf>
    <xf numFmtId="164" fontId="20" fillId="0" borderId="0" applyFont="0" applyFill="0" applyBorder="0" applyAlignment="0" applyProtection="0"/>
    <xf numFmtId="44" fontId="20" fillId="0" borderId="0" applyFont="0" applyFill="0" applyBorder="0" applyAlignment="0" applyProtection="0"/>
    <xf numFmtId="0" fontId="24" fillId="0" borderId="78">
      <alignment horizontal="center"/>
    </xf>
    <xf numFmtId="0" fontId="25" fillId="0" borderId="78">
      <alignment horizontal="center"/>
    </xf>
    <xf numFmtId="0" fontId="24" fillId="0" borderId="78">
      <alignment horizontal="center"/>
    </xf>
    <xf numFmtId="0" fontId="25" fillId="0" borderId="78">
      <alignment horizontal="center"/>
    </xf>
    <xf numFmtId="0" fontId="24"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wrapText="1"/>
    </xf>
    <xf numFmtId="0" fontId="24" fillId="0" borderId="78">
      <alignment horizontal="center"/>
    </xf>
    <xf numFmtId="0" fontId="25" fillId="0" borderId="78">
      <alignment horizontal="center"/>
    </xf>
    <xf numFmtId="0" fontId="24" fillId="0" borderId="78">
      <alignment horizontal="center" wrapText="1"/>
    </xf>
    <xf numFmtId="0" fontId="25" fillId="0" borderId="78">
      <alignment horizontal="center" wrapText="1"/>
    </xf>
    <xf numFmtId="0" fontId="24" fillId="0" borderId="78">
      <alignment horizontal="center"/>
    </xf>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xf>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xf>
    <xf numFmtId="44" fontId="17" fillId="0" borderId="0" applyFont="0" applyFill="0" applyBorder="0" applyAlignment="0" applyProtection="0"/>
    <xf numFmtId="164" fontId="17" fillId="0" borderId="0" applyFont="0" applyFill="0" applyBorder="0" applyAlignment="0" applyProtection="0"/>
    <xf numFmtId="0" fontId="36" fillId="0" borderId="50" applyNumberFormat="0" applyFill="0" applyAlignment="0" applyProtection="0"/>
    <xf numFmtId="0" fontId="24" fillId="0" borderId="78">
      <alignment horizontal="center" wrapText="1"/>
    </xf>
    <xf numFmtId="0" fontId="24" fillId="0" borderId="78">
      <alignment horizontal="center"/>
    </xf>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xf>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9">
      <alignment horizontal="center"/>
    </xf>
    <xf numFmtId="0" fontId="25" fillId="0" borderId="79">
      <alignment horizontal="center"/>
    </xf>
    <xf numFmtId="0" fontId="24" fillId="0" borderId="79">
      <alignment horizontal="center"/>
    </xf>
    <xf numFmtId="0" fontId="25" fillId="0" borderId="79">
      <alignment horizontal="center"/>
    </xf>
    <xf numFmtId="0" fontId="24" fillId="0" borderId="79">
      <alignment horizontal="center" wrapText="1"/>
    </xf>
    <xf numFmtId="0" fontId="25" fillId="0" borderId="79">
      <alignment horizontal="center" wrapText="1"/>
    </xf>
    <xf numFmtId="0" fontId="24" fillId="0" borderId="79">
      <alignment horizontal="center" wrapText="1"/>
    </xf>
    <xf numFmtId="0" fontId="25" fillId="0" borderId="79">
      <alignment horizontal="center" wrapText="1"/>
    </xf>
    <xf numFmtId="0" fontId="24" fillId="0" borderId="79">
      <alignment horizontal="center"/>
    </xf>
    <xf numFmtId="0" fontId="25" fillId="0" borderId="79">
      <alignment horizontal="center"/>
    </xf>
    <xf numFmtId="0" fontId="24" fillId="0" borderId="79">
      <alignment horizontal="center" wrapText="1"/>
    </xf>
    <xf numFmtId="0" fontId="25" fillId="0" borderId="79">
      <alignment horizontal="center" wrapText="1"/>
    </xf>
    <xf numFmtId="0" fontId="24" fillId="0" borderId="79">
      <alignment horizontal="center"/>
    </xf>
    <xf numFmtId="0" fontId="25" fillId="0" borderId="79">
      <alignment horizontal="center"/>
    </xf>
    <xf numFmtId="0" fontId="25" fillId="0" borderId="79">
      <alignment horizontal="center"/>
    </xf>
    <xf numFmtId="0" fontId="24" fillId="0" borderId="79">
      <alignment horizontal="center"/>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48" fillId="31" borderId="74" applyNumberFormat="0" applyAlignment="0" applyProtection="0"/>
    <xf numFmtId="0" fontId="48" fillId="18" borderId="74" applyNumberFormat="0" applyAlignment="0" applyProtection="0"/>
    <xf numFmtId="0" fontId="25" fillId="0" borderId="79">
      <alignment horizontal="center"/>
    </xf>
    <xf numFmtId="0" fontId="24" fillId="0" borderId="79">
      <alignment horizontal="center"/>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24" fillId="0" borderId="79">
      <alignment horizontal="center"/>
    </xf>
    <xf numFmtId="0" fontId="25" fillId="0" borderId="79">
      <alignment horizontal="center"/>
    </xf>
    <xf numFmtId="0" fontId="25" fillId="0" borderId="79">
      <alignment horizontal="center"/>
    </xf>
    <xf numFmtId="0" fontId="24" fillId="0" borderId="79">
      <alignment horizontal="center"/>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20" fillId="34" borderId="75" applyNumberFormat="0" applyFont="0" applyAlignment="0" applyProtection="0"/>
    <xf numFmtId="0" fontId="37" fillId="18" borderId="74" applyNumberFormat="0" applyAlignment="0" applyProtection="0"/>
    <xf numFmtId="0" fontId="30" fillId="31" borderId="74" applyNumberFormat="0" applyAlignment="0" applyProtection="0"/>
    <xf numFmtId="0" fontId="24" fillId="0" borderId="78">
      <alignment horizontal="center"/>
    </xf>
    <xf numFmtId="0" fontId="20" fillId="34" borderId="75" applyNumberFormat="0" applyFont="0" applyAlignment="0" applyProtection="0"/>
    <xf numFmtId="0" fontId="24" fillId="0" borderId="78">
      <alignment horizontal="center"/>
    </xf>
    <xf numFmtId="0" fontId="24" fillId="0" borderId="79">
      <alignment horizontal="center"/>
    </xf>
    <xf numFmtId="0" fontId="25" fillId="0" borderId="79">
      <alignment horizontal="center"/>
    </xf>
    <xf numFmtId="0" fontId="25" fillId="0" borderId="79">
      <alignment horizontal="center"/>
    </xf>
    <xf numFmtId="0" fontId="24" fillId="0" borderId="79">
      <alignment horizontal="center"/>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24" fillId="0" borderId="79">
      <alignment horizontal="center"/>
    </xf>
    <xf numFmtId="0" fontId="25" fillId="0" borderId="79">
      <alignment horizontal="center"/>
    </xf>
    <xf numFmtId="0" fontId="25" fillId="0" borderId="79">
      <alignment horizontal="center"/>
    </xf>
    <xf numFmtId="0" fontId="24" fillId="0" borderId="79">
      <alignment horizontal="center"/>
    </xf>
    <xf numFmtId="0" fontId="24" fillId="0" borderId="79">
      <alignment horizontal="center" wrapText="1"/>
    </xf>
    <xf numFmtId="0" fontId="25" fillId="0" borderId="79">
      <alignment horizontal="center" wrapText="1"/>
    </xf>
    <xf numFmtId="0" fontId="25" fillId="0" borderId="79">
      <alignment horizontal="center" wrapText="1"/>
    </xf>
    <xf numFmtId="0" fontId="24" fillId="0" borderId="79">
      <alignment horizontal="center" wrapText="1"/>
    </xf>
    <xf numFmtId="0" fontId="40" fillId="31" borderId="76" applyNumberFormat="0" applyAlignment="0" applyProtection="0"/>
    <xf numFmtId="0" fontId="42" fillId="0" borderId="77" applyNumberFormat="0" applyFill="0" applyAlignment="0" applyProtection="0"/>
    <xf numFmtId="0" fontId="48" fillId="31" borderId="76" applyNumberFormat="0" applyAlignment="0" applyProtection="0"/>
    <xf numFmtId="0" fontId="48" fillId="0" borderId="77" applyNumberFormat="0" applyFill="0" applyAlignment="0" applyProtection="0"/>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24" fillId="0" borderId="78">
      <alignment horizontal="center"/>
    </xf>
    <xf numFmtId="0" fontId="25" fillId="0" borderId="78">
      <alignment horizontal="center"/>
    </xf>
    <xf numFmtId="0" fontId="25" fillId="0" borderId="78">
      <alignment horizontal="center"/>
    </xf>
    <xf numFmtId="0" fontId="24" fillId="0" borderId="78">
      <alignment horizontal="center"/>
    </xf>
    <xf numFmtId="0" fontId="24" fillId="0" borderId="78">
      <alignment horizontal="center" wrapText="1"/>
    </xf>
    <xf numFmtId="0" fontId="25" fillId="0" borderId="78">
      <alignment horizontal="center" wrapText="1"/>
    </xf>
    <xf numFmtId="0" fontId="25" fillId="0" borderId="78">
      <alignment horizontal="center" wrapText="1"/>
    </xf>
    <xf numFmtId="0" fontId="24" fillId="0" borderId="78">
      <alignment horizontal="center" wrapText="1"/>
    </xf>
    <xf numFmtId="0" fontId="40" fillId="31" borderId="76" applyNumberFormat="0" applyAlignment="0" applyProtection="0"/>
    <xf numFmtId="0" fontId="42" fillId="0" borderId="77" applyNumberFormat="0" applyFill="0" applyAlignment="0" applyProtection="0"/>
    <xf numFmtId="0" fontId="48" fillId="31" borderId="76" applyNumberFormat="0" applyAlignment="0" applyProtection="0"/>
    <xf numFmtId="0" fontId="48" fillId="0" borderId="77" applyNumberFormat="0" applyFill="0" applyAlignment="0" applyProtection="0"/>
    <xf numFmtId="0" fontId="24" fillId="0" borderId="86">
      <alignment horizontal="center"/>
    </xf>
    <xf numFmtId="0" fontId="25" fillId="0" borderId="86">
      <alignment horizontal="center"/>
    </xf>
    <xf numFmtId="0" fontId="24" fillId="0" borderId="86">
      <alignment horizontal="center"/>
    </xf>
    <xf numFmtId="0" fontId="25" fillId="0" borderId="86">
      <alignment horizontal="center"/>
    </xf>
    <xf numFmtId="0" fontId="24" fillId="0" borderId="86">
      <alignment horizontal="center" wrapText="1"/>
    </xf>
    <xf numFmtId="0" fontId="25" fillId="0" borderId="86">
      <alignment horizontal="center" wrapText="1"/>
    </xf>
    <xf numFmtId="0" fontId="24" fillId="0" borderId="86">
      <alignment horizontal="center" wrapText="1"/>
    </xf>
    <xf numFmtId="0" fontId="25" fillId="0" borderId="86">
      <alignment horizontal="center" wrapText="1"/>
    </xf>
    <xf numFmtId="0" fontId="24" fillId="0" borderId="86">
      <alignment horizontal="center"/>
    </xf>
    <xf numFmtId="0" fontId="25" fillId="0" borderId="86">
      <alignment horizontal="center"/>
    </xf>
    <xf numFmtId="0" fontId="24" fillId="0" borderId="86">
      <alignment horizontal="center" wrapText="1"/>
    </xf>
    <xf numFmtId="0" fontId="25"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48" fillId="31" borderId="80" applyNumberFormat="0" applyAlignment="0" applyProtection="0"/>
    <xf numFmtId="0" fontId="48" fillId="18" borderId="80" applyNumberFormat="0" applyAlignment="0" applyProtection="0"/>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0" fillId="34" borderId="82" applyNumberFormat="0" applyFont="0" applyAlignment="0" applyProtection="0"/>
    <xf numFmtId="0" fontId="37" fillId="18" borderId="80" applyNumberFormat="0" applyAlignment="0" applyProtection="0"/>
    <xf numFmtId="0" fontId="30" fillId="31" borderId="80" applyNumberFormat="0" applyAlignment="0" applyProtection="0"/>
    <xf numFmtId="0" fontId="20" fillId="34" borderId="82" applyNumberFormat="0" applyFont="0" applyAlignment="0" applyProtection="0"/>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40" fillId="31" borderId="83" applyNumberFormat="0" applyAlignment="0" applyProtection="0"/>
    <xf numFmtId="0" fontId="42" fillId="0" borderId="84" applyNumberFormat="0" applyFill="0" applyAlignment="0" applyProtection="0"/>
    <xf numFmtId="0" fontId="48" fillId="31" borderId="83" applyNumberFormat="0" applyAlignment="0" applyProtection="0"/>
    <xf numFmtId="0" fontId="48" fillId="0" borderId="84" applyNumberFormat="0" applyFill="0" applyAlignment="0" applyProtection="0"/>
    <xf numFmtId="0" fontId="37" fillId="18" borderId="80" applyNumberFormat="0" applyAlignment="0" applyProtection="0"/>
    <xf numFmtId="0" fontId="20" fillId="34" borderId="82" applyNumberFormat="0" applyFont="0" applyAlignment="0" applyProtection="0"/>
    <xf numFmtId="0" fontId="36" fillId="0" borderId="81" applyNumberFormat="0" applyFill="0" applyAlignment="0" applyProtection="0"/>
    <xf numFmtId="0" fontId="48" fillId="18" borderId="80" applyNumberFormat="0" applyAlignment="0" applyProtection="0"/>
    <xf numFmtId="0" fontId="20" fillId="34" borderId="82" applyNumberFormat="0" applyFont="0" applyAlignment="0" applyProtection="0"/>
    <xf numFmtId="0" fontId="30" fillId="31" borderId="80" applyNumberFormat="0" applyAlignment="0" applyProtection="0"/>
    <xf numFmtId="0" fontId="20" fillId="34" borderId="82" applyNumberFormat="0" applyFont="0" applyAlignment="0" applyProtection="0"/>
    <xf numFmtId="0" fontId="20" fillId="34" borderId="82" applyNumberFormat="0" applyFont="0" applyAlignment="0" applyProtection="0"/>
    <xf numFmtId="0" fontId="48" fillId="0" borderId="81" applyNumberFormat="0" applyFill="0" applyAlignment="0" applyProtection="0"/>
    <xf numFmtId="0" fontId="48" fillId="0" borderId="84" applyNumberFormat="0" applyFill="0" applyAlignment="0" applyProtection="0"/>
    <xf numFmtId="0" fontId="48" fillId="31" borderId="80" applyNumberFormat="0" applyAlignment="0" applyProtection="0"/>
    <xf numFmtId="0" fontId="48" fillId="31" borderId="83" applyNumberFormat="0" applyAlignment="0" applyProtection="0"/>
    <xf numFmtId="0" fontId="48" fillId="18" borderId="80" applyNumberFormat="0" applyAlignment="0" applyProtection="0"/>
    <xf numFmtId="0" fontId="48" fillId="0" borderId="84" applyNumberFormat="0" applyFill="0" applyAlignment="0" applyProtection="0"/>
    <xf numFmtId="0" fontId="48" fillId="0" borderId="81" applyNumberFormat="0" applyFill="0" applyAlignment="0" applyProtection="0"/>
    <xf numFmtId="0" fontId="48" fillId="31" borderId="83" applyNumberFormat="0" applyAlignment="0" applyProtection="0"/>
    <xf numFmtId="0" fontId="43" fillId="35" borderId="85" applyFill="0"/>
    <xf numFmtId="0" fontId="42" fillId="0" borderId="84" applyNumberFormat="0" applyFill="0" applyAlignment="0" applyProtection="0"/>
    <xf numFmtId="0" fontId="43" fillId="35" borderId="85" applyFill="0"/>
    <xf numFmtId="0" fontId="42" fillId="0" borderId="84" applyNumberFormat="0" applyFill="0" applyAlignment="0" applyProtection="0"/>
    <xf numFmtId="0" fontId="40" fillId="31" borderId="83" applyNumberFormat="0" applyAlignment="0" applyProtection="0"/>
    <xf numFmtId="0" fontId="20" fillId="34" borderId="82" applyNumberFormat="0" applyFont="0" applyAlignment="0" applyProtection="0"/>
    <xf numFmtId="0" fontId="37" fillId="18" borderId="80" applyNumberFormat="0" applyAlignment="0" applyProtection="0"/>
    <xf numFmtId="0" fontId="30" fillId="31" borderId="80" applyNumberFormat="0" applyAlignment="0" applyProtection="0"/>
    <xf numFmtId="0" fontId="40" fillId="31" borderId="83" applyNumberFormat="0" applyAlignment="0" applyProtection="0"/>
    <xf numFmtId="0" fontId="20" fillId="34" borderId="82" applyNumberFormat="0" applyFont="0" applyAlignment="0" applyProtection="0"/>
    <xf numFmtId="0" fontId="48" fillId="31" borderId="80" applyNumberFormat="0" applyAlignment="0" applyProtection="0"/>
    <xf numFmtId="0" fontId="36" fillId="0" borderId="81" applyNumberFormat="0" applyFill="0" applyAlignment="0" applyProtection="0"/>
    <xf numFmtId="0" fontId="24" fillId="0" borderId="86">
      <alignment horizontal="center"/>
    </xf>
    <xf numFmtId="0" fontId="25" fillId="0" borderId="86">
      <alignment horizontal="center"/>
    </xf>
    <xf numFmtId="0" fontId="24" fillId="0" borderId="86">
      <alignment horizontal="center"/>
    </xf>
    <xf numFmtId="0" fontId="25" fillId="0" borderId="86">
      <alignment horizontal="center"/>
    </xf>
    <xf numFmtId="0" fontId="24" fillId="0" borderId="86">
      <alignment horizontal="center" wrapText="1"/>
    </xf>
    <xf numFmtId="0" fontId="25" fillId="0" borderId="86">
      <alignment horizontal="center" wrapText="1"/>
    </xf>
    <xf numFmtId="0" fontId="24" fillId="0" borderId="86">
      <alignment horizontal="center" wrapText="1"/>
    </xf>
    <xf numFmtId="0" fontId="25" fillId="0" borderId="86">
      <alignment horizontal="center" wrapText="1"/>
    </xf>
    <xf numFmtId="0" fontId="24" fillId="0" borderId="86">
      <alignment horizontal="center"/>
    </xf>
    <xf numFmtId="0" fontId="25" fillId="0" borderId="86">
      <alignment horizontal="center"/>
    </xf>
    <xf numFmtId="0" fontId="24" fillId="0" borderId="86">
      <alignment horizontal="center" wrapText="1"/>
    </xf>
    <xf numFmtId="0" fontId="25"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48" fillId="31" borderId="80" applyNumberFormat="0" applyAlignment="0" applyProtection="0"/>
    <xf numFmtId="0" fontId="48" fillId="18" borderId="80" applyNumberFormat="0" applyAlignment="0" applyProtection="0"/>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0" fillId="34" borderId="82" applyNumberFormat="0" applyFont="0" applyAlignment="0" applyProtection="0"/>
    <xf numFmtId="0" fontId="37" fillId="18" borderId="80" applyNumberFormat="0" applyAlignment="0" applyProtection="0"/>
    <xf numFmtId="0" fontId="30" fillId="31" borderId="80" applyNumberFormat="0" applyAlignment="0" applyProtection="0"/>
    <xf numFmtId="0" fontId="20" fillId="34" borderId="82" applyNumberFormat="0" applyFont="0" applyAlignment="0" applyProtection="0"/>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24" fillId="0" borderId="86">
      <alignment horizontal="center"/>
    </xf>
    <xf numFmtId="0" fontId="25" fillId="0" borderId="86">
      <alignment horizontal="center"/>
    </xf>
    <xf numFmtId="0" fontId="25" fillId="0" borderId="86">
      <alignment horizontal="center"/>
    </xf>
    <xf numFmtId="0" fontId="24" fillId="0" borderId="86">
      <alignment horizontal="center"/>
    </xf>
    <xf numFmtId="0" fontId="24" fillId="0" borderId="86">
      <alignment horizontal="center" wrapText="1"/>
    </xf>
    <xf numFmtId="0" fontId="25" fillId="0" borderId="86">
      <alignment horizontal="center" wrapText="1"/>
    </xf>
    <xf numFmtId="0" fontId="25" fillId="0" borderId="86">
      <alignment horizontal="center" wrapText="1"/>
    </xf>
    <xf numFmtId="0" fontId="24" fillId="0" borderId="86">
      <alignment horizontal="center" wrapText="1"/>
    </xf>
    <xf numFmtId="0" fontId="40" fillId="31" borderId="83" applyNumberFormat="0" applyAlignment="0" applyProtection="0"/>
    <xf numFmtId="0" fontId="42" fillId="0" borderId="84" applyNumberFormat="0" applyFill="0" applyAlignment="0" applyProtection="0"/>
    <xf numFmtId="0" fontId="48" fillId="31" borderId="83" applyNumberFormat="0" applyAlignment="0" applyProtection="0"/>
    <xf numFmtId="0" fontId="48" fillId="0" borderId="84" applyNumberFormat="0" applyFill="0" applyAlignment="0" applyProtection="0"/>
    <xf numFmtId="0" fontId="40" fillId="31" borderId="83" applyNumberFormat="0" applyAlignment="0" applyProtection="0"/>
    <xf numFmtId="0" fontId="42" fillId="0" borderId="84" applyNumberFormat="0" applyFill="0" applyAlignment="0" applyProtection="0"/>
    <xf numFmtId="0" fontId="48" fillId="31" borderId="83" applyNumberFormat="0" applyAlignment="0" applyProtection="0"/>
    <xf numFmtId="0" fontId="48" fillId="0" borderId="84" applyNumberFormat="0" applyFill="0" applyAlignment="0" applyProtection="0"/>
    <xf numFmtId="0" fontId="20" fillId="0" borderId="0"/>
  </cellStyleXfs>
  <cellXfs count="621">
    <xf numFmtId="0" fontId="0" fillId="0" borderId="0" xfId="0"/>
    <xf numFmtId="0" fontId="0" fillId="0" borderId="0" xfId="0" applyAlignment="1">
      <alignment vertical="center"/>
    </xf>
    <xf numFmtId="0" fontId="8" fillId="0" borderId="0" xfId="0" applyFont="1" applyAlignment="1">
      <alignment horizontal="center" vertical="center"/>
    </xf>
    <xf numFmtId="0" fontId="0" fillId="0" borderId="0" xfId="0" applyBorder="1" applyAlignment="1">
      <alignment horizontal="center" vertical="center"/>
    </xf>
    <xf numFmtId="0" fontId="6" fillId="0" borderId="9" xfId="0" applyFont="1" applyBorder="1" applyAlignment="1">
      <alignment horizontal="center" vertical="center"/>
    </xf>
    <xf numFmtId="0" fontId="0" fillId="0" borderId="6" xfId="0" applyBorder="1" applyAlignment="1">
      <alignment horizontal="center" vertical="center"/>
    </xf>
    <xf numFmtId="165" fontId="0" fillId="0" borderId="5" xfId="0" applyNumberFormat="1" applyFill="1" applyBorder="1" applyAlignment="1">
      <alignment horizontal="right" vertical="center"/>
    </xf>
    <xf numFmtId="0" fontId="0" fillId="0" borderId="1" xfId="0" applyBorder="1"/>
    <xf numFmtId="14" fontId="0" fillId="0" borderId="11"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6" fillId="0" borderId="4" xfId="0" applyFont="1" applyBorder="1" applyAlignment="1">
      <alignment horizontal="center" vertical="center"/>
    </xf>
    <xf numFmtId="165" fontId="0" fillId="0" borderId="3" xfId="0" applyNumberFormat="1" applyFill="1" applyBorder="1" applyAlignment="1">
      <alignment horizontal="right" vertical="center"/>
    </xf>
    <xf numFmtId="0" fontId="0" fillId="0" borderId="0" xfId="0" applyBorder="1" applyAlignment="1">
      <alignment vertical="center"/>
    </xf>
    <xf numFmtId="14" fontId="0" fillId="0" borderId="0" xfId="0" applyNumberFormat="1" applyBorder="1" applyAlignment="1">
      <alignment vertical="center"/>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xf>
    <xf numFmtId="3" fontId="0" fillId="0" borderId="0" xfId="0" applyNumberFormat="1" applyBorder="1" applyAlignment="1">
      <alignment horizontal="center" vertical="center"/>
    </xf>
    <xf numFmtId="166" fontId="0" fillId="0" borderId="0" xfId="0" applyNumberFormat="1" applyBorder="1" applyAlignment="1">
      <alignment horizontal="center" vertical="center"/>
    </xf>
    <xf numFmtId="0" fontId="3" fillId="0" borderId="0" xfId="0" applyFont="1" applyBorder="1" applyAlignment="1">
      <alignment vertical="center"/>
    </xf>
    <xf numFmtId="0" fontId="11" fillId="0" borderId="1" xfId="0" applyFont="1" applyBorder="1" applyAlignment="1">
      <alignment vertical="center"/>
    </xf>
    <xf numFmtId="17" fontId="11" fillId="0" borderId="2" xfId="0" applyNumberFormat="1" applyFont="1" applyBorder="1" applyAlignment="1">
      <alignment horizontal="right" vertical="center"/>
    </xf>
    <xf numFmtId="0" fontId="11" fillId="0" borderId="3" xfId="0" applyFont="1" applyBorder="1" applyAlignment="1">
      <alignment vertical="center"/>
    </xf>
    <xf numFmtId="0" fontId="11" fillId="0" borderId="4" xfId="0" applyFont="1" applyBorder="1" applyAlignment="1">
      <alignment horizontal="right" vertical="center"/>
    </xf>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center" vertical="center"/>
    </xf>
    <xf numFmtId="17" fontId="11" fillId="0" borderId="1" xfId="0" applyNumberFormat="1" applyFont="1" applyBorder="1" applyAlignment="1">
      <alignment horizontal="right" vertical="center"/>
    </xf>
    <xf numFmtId="0" fontId="0" fillId="2" borderId="12" xfId="0" applyFill="1" applyBorder="1" applyAlignment="1">
      <alignment horizontal="center" vertical="center" wrapText="1"/>
    </xf>
    <xf numFmtId="0" fontId="0" fillId="0" borderId="0" xfId="0" applyAlignment="1">
      <alignment horizontal="center"/>
    </xf>
    <xf numFmtId="166" fontId="0" fillId="0" borderId="0" xfId="0" applyNumberFormat="1" applyAlignment="1">
      <alignment horizontal="center"/>
    </xf>
    <xf numFmtId="166" fontId="0" fillId="0" borderId="0" xfId="0" applyNumberFormat="1"/>
    <xf numFmtId="165" fontId="9" fillId="0" borderId="7" xfId="0" applyNumberFormat="1" applyFont="1" applyFill="1" applyBorder="1" applyAlignment="1">
      <alignment horizontal="center" vertical="center"/>
    </xf>
    <xf numFmtId="166" fontId="3" fillId="0" borderId="0" xfId="0" applyNumberFormat="1" applyFont="1"/>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6" fillId="0" borderId="17" xfId="0" applyFont="1" applyBorder="1" applyAlignment="1">
      <alignment horizontal="center" vertical="center"/>
    </xf>
    <xf numFmtId="165" fontId="0" fillId="0" borderId="18" xfId="0" applyNumberFormat="1" applyFill="1" applyBorder="1" applyAlignment="1">
      <alignment horizontal="right" vertical="center"/>
    </xf>
    <xf numFmtId="165" fontId="0" fillId="0" borderId="19" xfId="0" applyNumberFormat="1" applyFill="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22" xfId="0" applyFont="1" applyBorder="1" applyAlignment="1">
      <alignment horizontal="center" vertical="center"/>
    </xf>
    <xf numFmtId="165" fontId="0" fillId="0" borderId="23" xfId="0" applyNumberFormat="1" applyFill="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vertical="center"/>
    </xf>
    <xf numFmtId="0" fontId="6" fillId="0" borderId="7" xfId="0" applyFont="1" applyFill="1" applyBorder="1" applyAlignment="1">
      <alignment horizontal="left" vertical="center" wrapText="1"/>
    </xf>
    <xf numFmtId="0" fontId="0" fillId="2" borderId="24" xfId="0"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25" xfId="0" applyFill="1" applyBorder="1" applyAlignment="1">
      <alignment horizontal="center" vertical="center" wrapText="1"/>
    </xf>
    <xf numFmtId="0" fontId="1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7" fontId="12" fillId="0" borderId="7"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9"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14" fontId="9" fillId="0" borderId="7"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6" fillId="0" borderId="8" xfId="0" applyFont="1" applyFill="1" applyBorder="1" applyAlignment="1">
      <alignment horizontal="center" vertical="center" wrapText="1"/>
    </xf>
    <xf numFmtId="165" fontId="7" fillId="0" borderId="7" xfId="0" applyNumberFormat="1" applyFont="1" applyFill="1" applyBorder="1" applyAlignment="1">
      <alignment horizontal="center" vertical="center"/>
    </xf>
    <xf numFmtId="14" fontId="0" fillId="0" borderId="7" xfId="0" applyNumberFormat="1" applyFill="1" applyBorder="1" applyAlignment="1">
      <alignment horizontal="center" vertical="center"/>
    </xf>
    <xf numFmtId="167" fontId="0" fillId="0" borderId="7" xfId="0" applyNumberFormat="1" applyFill="1" applyBorder="1" applyAlignment="1">
      <alignment horizontal="center" vertical="center"/>
    </xf>
    <xf numFmtId="0" fontId="0" fillId="0" borderId="7" xfId="0" applyFill="1" applyBorder="1" applyAlignment="1">
      <alignment horizontal="center" vertical="center"/>
    </xf>
    <xf numFmtId="49" fontId="6" fillId="0" borderId="7" xfId="0" applyNumberFormat="1" applyFont="1" applyFill="1" applyBorder="1" applyAlignment="1">
      <alignment horizontal="center" vertical="center"/>
    </xf>
    <xf numFmtId="165" fontId="0" fillId="0" borderId="7" xfId="0" applyNumberFormat="1" applyFill="1" applyBorder="1" applyAlignment="1">
      <alignment horizontal="center" vertical="center"/>
    </xf>
    <xf numFmtId="0" fontId="6" fillId="3" borderId="7" xfId="0" applyFont="1" applyFill="1" applyBorder="1" applyAlignment="1">
      <alignment vertical="center"/>
    </xf>
    <xf numFmtId="0" fontId="6" fillId="3" borderId="7" xfId="0" applyFont="1" applyFill="1" applyBorder="1" applyAlignment="1">
      <alignment vertical="center" wrapText="1"/>
    </xf>
    <xf numFmtId="14"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xf>
    <xf numFmtId="14" fontId="6" fillId="3" borderId="7" xfId="0" applyNumberFormat="1" applyFont="1" applyFill="1" applyBorder="1" applyAlignment="1">
      <alignment vertical="center"/>
    </xf>
    <xf numFmtId="14" fontId="6" fillId="3" borderId="7"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14" fontId="12" fillId="3" borderId="7" xfId="0" applyNumberFormat="1" applyFont="1" applyFill="1" applyBorder="1" applyAlignment="1">
      <alignment horizontal="center" vertical="center"/>
    </xf>
    <xf numFmtId="167" fontId="12" fillId="3" borderId="7" xfId="0" applyNumberFormat="1" applyFont="1" applyFill="1" applyBorder="1" applyAlignment="1">
      <alignment horizontal="center" vertical="center"/>
    </xf>
    <xf numFmtId="167" fontId="6" fillId="3" borderId="7" xfId="0" applyNumberFormat="1" applyFont="1" applyFill="1" applyBorder="1" applyAlignment="1">
      <alignment horizontal="center" vertical="center"/>
    </xf>
    <xf numFmtId="3" fontId="6" fillId="3" borderId="7" xfId="0" applyNumberFormat="1" applyFont="1" applyFill="1" applyBorder="1" applyAlignment="1">
      <alignment horizontal="center" vertical="center"/>
    </xf>
    <xf numFmtId="166" fontId="6" fillId="3" borderId="7" xfId="0" applyNumberFormat="1" applyFont="1" applyFill="1" applyBorder="1" applyAlignment="1">
      <alignment horizontal="center" vertical="center"/>
    </xf>
    <xf numFmtId="0" fontId="9"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0" borderId="7" xfId="0" applyFont="1" applyFill="1" applyBorder="1" applyAlignment="1">
      <alignment horizontal="left" vertical="center"/>
    </xf>
    <xf numFmtId="0" fontId="14" fillId="3" borderId="7" xfId="0" applyFont="1" applyFill="1" applyBorder="1" applyAlignment="1">
      <alignment horizontal="center" vertical="center" wrapText="1"/>
    </xf>
    <xf numFmtId="0" fontId="14" fillId="0" borderId="7" xfId="0" applyFont="1" applyFill="1" applyBorder="1" applyAlignment="1">
      <alignment horizontal="center" vertical="center"/>
    </xf>
    <xf numFmtId="0" fontId="6" fillId="4" borderId="7" xfId="0" applyFont="1" applyFill="1" applyBorder="1" applyAlignment="1">
      <alignment vertical="center"/>
    </xf>
    <xf numFmtId="0" fontId="6"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6" fillId="4" borderId="7" xfId="0" applyFont="1" applyFill="1" applyBorder="1" applyAlignment="1">
      <alignment vertical="center" wrapText="1"/>
    </xf>
    <xf numFmtId="14"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14" fontId="6" fillId="4" borderId="7" xfId="0" applyNumberFormat="1" applyFont="1" applyFill="1" applyBorder="1" applyAlignment="1">
      <alignment vertical="center"/>
    </xf>
    <xf numFmtId="14" fontId="6" fillId="4" borderId="7" xfId="0" applyNumberFormat="1" applyFont="1" applyFill="1" applyBorder="1" applyAlignment="1">
      <alignment horizontal="center" vertical="center"/>
    </xf>
    <xf numFmtId="0" fontId="14" fillId="4" borderId="7" xfId="0" applyNumberFormat="1" applyFont="1" applyFill="1" applyBorder="1" applyAlignment="1">
      <alignment horizontal="center" vertical="center"/>
    </xf>
    <xf numFmtId="165" fontId="9" fillId="4" borderId="7" xfId="0" applyNumberFormat="1" applyFont="1" applyFill="1" applyBorder="1" applyAlignment="1">
      <alignment horizontal="center" vertical="center"/>
    </xf>
    <xf numFmtId="14" fontId="12" fillId="4" borderId="7" xfId="0" applyNumberFormat="1" applyFont="1" applyFill="1" applyBorder="1" applyAlignment="1">
      <alignment horizontal="center" vertical="center"/>
    </xf>
    <xf numFmtId="167" fontId="12" fillId="4" borderId="7" xfId="0" applyNumberFormat="1" applyFont="1" applyFill="1" applyBorder="1" applyAlignment="1">
      <alignment horizontal="center" vertical="center"/>
    </xf>
    <xf numFmtId="167" fontId="6" fillId="4" borderId="7" xfId="0" applyNumberFormat="1" applyFont="1" applyFill="1" applyBorder="1" applyAlignment="1">
      <alignment horizontal="center" vertical="center"/>
    </xf>
    <xf numFmtId="3" fontId="6" fillId="4" borderId="7" xfId="0" applyNumberFormat="1" applyFont="1" applyFill="1" applyBorder="1" applyAlignment="1">
      <alignment horizontal="center" vertical="center"/>
    </xf>
    <xf numFmtId="166" fontId="6" fillId="4" borderId="7" xfId="0" applyNumberFormat="1" applyFont="1" applyFill="1" applyBorder="1" applyAlignment="1">
      <alignment horizontal="center" vertical="center"/>
    </xf>
    <xf numFmtId="0" fontId="12" fillId="4" borderId="7" xfId="0" applyFont="1" applyFill="1" applyBorder="1" applyAlignment="1">
      <alignment horizontal="center" vertical="center" wrapText="1"/>
    </xf>
    <xf numFmtId="0" fontId="6" fillId="4" borderId="10" xfId="0" applyFont="1" applyFill="1" applyBorder="1" applyAlignment="1">
      <alignment vertical="center"/>
    </xf>
    <xf numFmtId="0" fontId="6" fillId="4" borderId="10" xfId="0" applyFont="1" applyFill="1" applyBorder="1" applyAlignment="1">
      <alignment horizontal="center" vertical="center" wrapText="1"/>
    </xf>
    <xf numFmtId="0" fontId="6" fillId="4" borderId="10" xfId="0" applyFont="1" applyFill="1" applyBorder="1" applyAlignment="1">
      <alignment vertical="center" wrapText="1"/>
    </xf>
    <xf numFmtId="14" fontId="6"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14" fontId="6" fillId="4" borderId="10" xfId="0" applyNumberFormat="1" applyFont="1" applyFill="1" applyBorder="1" applyAlignment="1">
      <alignment vertical="center"/>
    </xf>
    <xf numFmtId="14" fontId="6" fillId="4" borderId="10" xfId="0" applyNumberFormat="1" applyFont="1" applyFill="1" applyBorder="1" applyAlignment="1">
      <alignment horizontal="center" vertical="center"/>
    </xf>
    <xf numFmtId="0" fontId="14" fillId="4" borderId="10" xfId="0" applyNumberFormat="1" applyFont="1" applyFill="1" applyBorder="1" applyAlignment="1">
      <alignment horizontal="center" vertical="center"/>
    </xf>
    <xf numFmtId="165" fontId="9" fillId="4" borderId="10" xfId="0" applyNumberFormat="1" applyFont="1" applyFill="1" applyBorder="1" applyAlignment="1">
      <alignment horizontal="center" vertical="center"/>
    </xf>
    <xf numFmtId="14" fontId="12" fillId="4" borderId="10"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6" fillId="4" borderId="10" xfId="0" applyNumberFormat="1" applyFont="1" applyFill="1" applyBorder="1" applyAlignment="1">
      <alignment horizontal="center" vertical="center"/>
    </xf>
    <xf numFmtId="3" fontId="6" fillId="4" borderId="10" xfId="0" applyNumberFormat="1" applyFont="1" applyFill="1" applyBorder="1" applyAlignment="1">
      <alignment horizontal="center" vertical="center"/>
    </xf>
    <xf numFmtId="166" fontId="6" fillId="4" borderId="10" xfId="0" applyNumberFormat="1" applyFont="1" applyFill="1" applyBorder="1" applyAlignment="1">
      <alignment horizontal="center" vertical="center"/>
    </xf>
    <xf numFmtId="0" fontId="12" fillId="4" borderId="10"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3" fillId="4"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7" xfId="0" applyFont="1" applyFill="1" applyBorder="1" applyAlignment="1">
      <alignment horizontal="center" vertical="center"/>
    </xf>
    <xf numFmtId="0" fontId="6" fillId="5" borderId="7" xfId="0" applyFont="1" applyFill="1" applyBorder="1" applyAlignment="1">
      <alignment vertical="center"/>
    </xf>
    <xf numFmtId="0" fontId="6"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3" fillId="5" borderId="7" xfId="0" applyFont="1" applyFill="1" applyBorder="1" applyAlignment="1">
      <alignment horizontal="center" vertical="center"/>
    </xf>
    <xf numFmtId="0" fontId="6" fillId="5" borderId="7" xfId="0" applyFont="1" applyFill="1" applyBorder="1" applyAlignment="1">
      <alignment vertical="center" wrapText="1"/>
    </xf>
    <xf numFmtId="14" fontId="6"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xf>
    <xf numFmtId="14" fontId="6" fillId="5" borderId="7" xfId="0" applyNumberFormat="1" applyFont="1" applyFill="1" applyBorder="1" applyAlignment="1">
      <alignment vertical="center"/>
    </xf>
    <xf numFmtId="14" fontId="6" fillId="5" borderId="7"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165" fontId="9" fillId="5" borderId="7" xfId="0" applyNumberFormat="1" applyFont="1" applyFill="1" applyBorder="1" applyAlignment="1">
      <alignment horizontal="center" vertical="center"/>
    </xf>
    <xf numFmtId="14" fontId="9" fillId="5" borderId="7" xfId="0" applyNumberFormat="1" applyFont="1" applyFill="1" applyBorder="1" applyAlignment="1">
      <alignment horizontal="center" vertical="center"/>
    </xf>
    <xf numFmtId="167" fontId="9" fillId="5" borderId="7" xfId="0" applyNumberFormat="1" applyFont="1" applyFill="1" applyBorder="1" applyAlignment="1">
      <alignment horizontal="center" vertical="center"/>
    </xf>
    <xf numFmtId="167" fontId="6" fillId="5" borderId="7"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166" fontId="6" fillId="5" borderId="7" xfId="0" applyNumberFormat="1" applyFont="1" applyFill="1" applyBorder="1" applyAlignment="1">
      <alignment horizontal="center" vertical="center"/>
    </xf>
    <xf numFmtId="0" fontId="9" fillId="5" borderId="7"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6" borderId="7" xfId="0" applyFont="1" applyFill="1" applyBorder="1" applyAlignment="1">
      <alignment vertical="center" wrapText="1"/>
    </xf>
    <xf numFmtId="0" fontId="6" fillId="6" borderId="7" xfId="0" applyFont="1" applyFill="1" applyBorder="1" applyAlignment="1">
      <alignment vertical="center"/>
    </xf>
    <xf numFmtId="14" fontId="6" fillId="6" borderId="7" xfId="0" applyNumberFormat="1" applyFont="1" applyFill="1" applyBorder="1" applyAlignment="1">
      <alignment horizontal="center" vertical="center" wrapText="1"/>
    </xf>
    <xf numFmtId="14" fontId="6" fillId="6" borderId="7" xfId="0" applyNumberFormat="1" applyFont="1" applyFill="1" applyBorder="1" applyAlignment="1">
      <alignment vertical="center"/>
    </xf>
    <xf numFmtId="14" fontId="6" fillId="6" borderId="7" xfId="0" applyNumberFormat="1" applyFont="1" applyFill="1" applyBorder="1" applyAlignment="1">
      <alignment horizontal="center" vertical="center"/>
    </xf>
    <xf numFmtId="0" fontId="14" fillId="6" borderId="7" xfId="0" applyNumberFormat="1" applyFont="1" applyFill="1" applyBorder="1" applyAlignment="1">
      <alignment horizontal="center" vertical="center"/>
    </xf>
    <xf numFmtId="165" fontId="7" fillId="6" borderId="7" xfId="0" applyNumberFormat="1" applyFont="1" applyFill="1" applyBorder="1" applyAlignment="1">
      <alignment horizontal="center" vertical="center"/>
    </xf>
    <xf numFmtId="14" fontId="0" fillId="6" borderId="7" xfId="0" applyNumberFormat="1" applyFill="1" applyBorder="1" applyAlignment="1">
      <alignment horizontal="center" vertical="center"/>
    </xf>
    <xf numFmtId="167" fontId="0" fillId="6" borderId="7" xfId="0" applyNumberFormat="1" applyFill="1" applyBorder="1" applyAlignment="1">
      <alignment horizontal="center" vertical="center"/>
    </xf>
    <xf numFmtId="167" fontId="6" fillId="6" borderId="7" xfId="0" applyNumberFormat="1" applyFont="1" applyFill="1" applyBorder="1" applyAlignment="1">
      <alignment horizontal="center" vertical="center"/>
    </xf>
    <xf numFmtId="3" fontId="6" fillId="6" borderId="7" xfId="0" applyNumberFormat="1" applyFont="1" applyFill="1" applyBorder="1" applyAlignment="1">
      <alignment horizontal="center" vertical="center"/>
    </xf>
    <xf numFmtId="166" fontId="6" fillId="6" borderId="7" xfId="0" applyNumberFormat="1" applyFont="1" applyFill="1" applyBorder="1" applyAlignment="1">
      <alignment horizontal="center" vertical="center"/>
    </xf>
    <xf numFmtId="0" fontId="0" fillId="6" borderId="7" xfId="0" applyFill="1" applyBorder="1" applyAlignment="1">
      <alignment horizontal="center" vertical="center"/>
    </xf>
    <xf numFmtId="49" fontId="6" fillId="6" borderId="7" xfId="0" applyNumberFormat="1" applyFont="1" applyFill="1" applyBorder="1" applyAlignment="1">
      <alignment horizontal="center" vertical="center"/>
    </xf>
    <xf numFmtId="165" fontId="0" fillId="6" borderId="7" xfId="0" applyNumberFormat="1" applyFill="1" applyBorder="1" applyAlignment="1">
      <alignment horizontal="center" vertical="center"/>
    </xf>
    <xf numFmtId="0" fontId="6" fillId="7" borderId="7" xfId="0" applyFont="1" applyFill="1" applyBorder="1" applyAlignment="1">
      <alignment horizontal="center" vertical="center"/>
    </xf>
    <xf numFmtId="0" fontId="6" fillId="7" borderId="7" xfId="0" applyFont="1" applyFill="1" applyBorder="1" applyAlignment="1">
      <alignment horizontal="center" vertical="center" wrapText="1"/>
    </xf>
    <xf numFmtId="0" fontId="0" fillId="7" borderId="7" xfId="0" applyFill="1" applyBorder="1" applyAlignment="1">
      <alignment horizontal="center" vertical="center"/>
    </xf>
    <xf numFmtId="0" fontId="6" fillId="7" borderId="7" xfId="0" applyFont="1" applyFill="1" applyBorder="1" applyAlignment="1">
      <alignment vertical="center" wrapText="1"/>
    </xf>
    <xf numFmtId="0" fontId="6" fillId="7" borderId="7" xfId="0" applyFont="1" applyFill="1" applyBorder="1" applyAlignment="1">
      <alignment vertical="center"/>
    </xf>
    <xf numFmtId="14" fontId="6" fillId="7" borderId="7" xfId="0" applyNumberFormat="1" applyFont="1" applyFill="1" applyBorder="1" applyAlignment="1">
      <alignment horizontal="center" vertical="center" wrapText="1"/>
    </xf>
    <xf numFmtId="14" fontId="6" fillId="7" borderId="7" xfId="0" applyNumberFormat="1" applyFont="1" applyFill="1" applyBorder="1" applyAlignment="1">
      <alignment vertical="center"/>
    </xf>
    <xf numFmtId="14" fontId="6" fillId="7" borderId="7" xfId="0" applyNumberFormat="1" applyFont="1" applyFill="1" applyBorder="1" applyAlignment="1">
      <alignment horizontal="center" vertical="center"/>
    </xf>
    <xf numFmtId="0" fontId="14" fillId="7" borderId="7" xfId="0" applyNumberFormat="1" applyFont="1" applyFill="1" applyBorder="1" applyAlignment="1">
      <alignment horizontal="center" vertical="center"/>
    </xf>
    <xf numFmtId="165" fontId="7" fillId="7" borderId="7" xfId="0" applyNumberFormat="1" applyFont="1" applyFill="1" applyBorder="1" applyAlignment="1">
      <alignment horizontal="center" vertical="center"/>
    </xf>
    <xf numFmtId="14" fontId="0" fillId="7" borderId="7" xfId="0" applyNumberFormat="1" applyFill="1" applyBorder="1" applyAlignment="1">
      <alignment horizontal="center" vertical="center"/>
    </xf>
    <xf numFmtId="167" fontId="0" fillId="7" borderId="7" xfId="0" applyNumberFormat="1" applyFill="1" applyBorder="1" applyAlignment="1">
      <alignment horizontal="center" vertical="center"/>
    </xf>
    <xf numFmtId="167" fontId="6" fillId="7" borderId="7" xfId="0" applyNumberFormat="1" applyFont="1" applyFill="1" applyBorder="1" applyAlignment="1">
      <alignment horizontal="center" vertical="center"/>
    </xf>
    <xf numFmtId="3" fontId="6" fillId="7" borderId="7" xfId="0" applyNumberFormat="1" applyFont="1" applyFill="1" applyBorder="1" applyAlignment="1">
      <alignment horizontal="center" vertical="center"/>
    </xf>
    <xf numFmtId="166" fontId="6"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13" fillId="7" borderId="7"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14" fillId="8" borderId="7" xfId="0" applyFont="1" applyFill="1" applyBorder="1" applyAlignment="1">
      <alignment horizontal="center" vertical="center"/>
    </xf>
    <xf numFmtId="0" fontId="13" fillId="8" borderId="7" xfId="0" applyFont="1" applyFill="1" applyBorder="1" applyAlignment="1">
      <alignment horizontal="center" vertical="center"/>
    </xf>
    <xf numFmtId="0" fontId="6" fillId="8" borderId="7" xfId="0" applyFont="1" applyFill="1" applyBorder="1" applyAlignment="1">
      <alignment vertical="center" wrapText="1"/>
    </xf>
    <xf numFmtId="0" fontId="6" fillId="8" borderId="7" xfId="0" applyFont="1" applyFill="1" applyBorder="1" applyAlignment="1">
      <alignment vertical="center"/>
    </xf>
    <xf numFmtId="14" fontId="6" fillId="8" borderId="7" xfId="0" applyNumberFormat="1" applyFont="1" applyFill="1" applyBorder="1" applyAlignment="1">
      <alignment horizontal="center" vertical="center" wrapText="1"/>
    </xf>
    <xf numFmtId="14" fontId="6" fillId="8" borderId="7" xfId="0" applyNumberFormat="1" applyFont="1" applyFill="1" applyBorder="1" applyAlignment="1">
      <alignment vertical="center"/>
    </xf>
    <xf numFmtId="14" fontId="6" fillId="8" borderId="7" xfId="0" applyNumberFormat="1" applyFont="1" applyFill="1" applyBorder="1" applyAlignment="1">
      <alignment horizontal="center" vertical="center"/>
    </xf>
    <xf numFmtId="49" fontId="6" fillId="8" borderId="7" xfId="0" applyNumberFormat="1" applyFont="1" applyFill="1" applyBorder="1" applyAlignment="1">
      <alignment horizontal="center" vertical="center"/>
    </xf>
    <xf numFmtId="165" fontId="0" fillId="8" borderId="7" xfId="0" applyNumberFormat="1" applyFill="1" applyBorder="1" applyAlignment="1">
      <alignment horizontal="center" vertical="center"/>
    </xf>
    <xf numFmtId="14" fontId="0" fillId="8" borderId="7" xfId="0" applyNumberFormat="1" applyFill="1" applyBorder="1" applyAlignment="1">
      <alignment horizontal="center" vertical="center"/>
    </xf>
    <xf numFmtId="167" fontId="0" fillId="8" borderId="7" xfId="0" applyNumberFormat="1" applyFill="1" applyBorder="1" applyAlignment="1">
      <alignment horizontal="center" vertical="center"/>
    </xf>
    <xf numFmtId="167" fontId="6" fillId="8" borderId="7" xfId="0" applyNumberFormat="1" applyFont="1" applyFill="1" applyBorder="1" applyAlignment="1">
      <alignment horizontal="center" vertical="center"/>
    </xf>
    <xf numFmtId="3" fontId="6" fillId="8" borderId="7" xfId="0" applyNumberFormat="1" applyFont="1" applyFill="1" applyBorder="1" applyAlignment="1">
      <alignment horizontal="center" vertical="center"/>
    </xf>
    <xf numFmtId="166" fontId="6" fillId="8" borderId="7" xfId="0" applyNumberFormat="1" applyFont="1" applyFill="1" applyBorder="1" applyAlignment="1">
      <alignment horizontal="center" vertical="center"/>
    </xf>
    <xf numFmtId="0" fontId="0" fillId="8" borderId="7" xfId="0" applyFill="1" applyBorder="1" applyAlignment="1">
      <alignment horizontal="center" vertical="center"/>
    </xf>
    <xf numFmtId="0" fontId="6" fillId="9" borderId="7" xfId="0" applyFont="1" applyFill="1" applyBorder="1" applyAlignment="1">
      <alignment horizontal="center" vertical="center"/>
    </xf>
    <xf numFmtId="0" fontId="6" fillId="9" borderId="7" xfId="0" applyFont="1" applyFill="1" applyBorder="1" applyAlignment="1">
      <alignment horizontal="center" vertical="center" wrapText="1"/>
    </xf>
    <xf numFmtId="0" fontId="0" fillId="9" borderId="7" xfId="0" applyFill="1" applyBorder="1" applyAlignment="1">
      <alignment horizontal="center" vertical="center"/>
    </xf>
    <xf numFmtId="0" fontId="6" fillId="9" borderId="7" xfId="0" applyFont="1" applyFill="1" applyBorder="1" applyAlignment="1">
      <alignment vertical="center" wrapText="1"/>
    </xf>
    <xf numFmtId="0" fontId="6" fillId="9" borderId="7" xfId="0" applyFont="1" applyFill="1" applyBorder="1" applyAlignment="1">
      <alignment vertical="center"/>
    </xf>
    <xf numFmtId="14" fontId="6" fillId="9" borderId="7" xfId="0" applyNumberFormat="1" applyFont="1" applyFill="1" applyBorder="1" applyAlignment="1">
      <alignment horizontal="center" vertical="center" wrapText="1"/>
    </xf>
    <xf numFmtId="14" fontId="6" fillId="9" borderId="7" xfId="0" applyNumberFormat="1" applyFont="1" applyFill="1" applyBorder="1" applyAlignment="1">
      <alignment vertical="center"/>
    </xf>
    <xf numFmtId="14" fontId="6" fillId="9" borderId="7" xfId="0" applyNumberFormat="1" applyFont="1" applyFill="1" applyBorder="1" applyAlignment="1">
      <alignment horizontal="center" vertical="center"/>
    </xf>
    <xf numFmtId="49" fontId="6" fillId="9" borderId="7" xfId="0" applyNumberFormat="1" applyFont="1" applyFill="1" applyBorder="1" applyAlignment="1">
      <alignment horizontal="center" vertical="center"/>
    </xf>
    <xf numFmtId="165" fontId="0" fillId="9" borderId="7" xfId="0" applyNumberFormat="1" applyFill="1" applyBorder="1" applyAlignment="1">
      <alignment horizontal="center" vertical="center"/>
    </xf>
    <xf numFmtId="14" fontId="0" fillId="9" borderId="7" xfId="0" applyNumberFormat="1" applyFill="1" applyBorder="1" applyAlignment="1">
      <alignment horizontal="center" vertical="center"/>
    </xf>
    <xf numFmtId="167" fontId="0" fillId="9" borderId="7" xfId="0" applyNumberFormat="1" applyFill="1" applyBorder="1" applyAlignment="1">
      <alignment horizontal="center" vertical="center"/>
    </xf>
    <xf numFmtId="167" fontId="6" fillId="9" borderId="7" xfId="0" applyNumberFormat="1" applyFont="1" applyFill="1" applyBorder="1" applyAlignment="1">
      <alignment horizontal="center" vertical="center"/>
    </xf>
    <xf numFmtId="3" fontId="6" fillId="9" borderId="7" xfId="0" applyNumberFormat="1" applyFont="1" applyFill="1" applyBorder="1" applyAlignment="1">
      <alignment horizontal="center" vertical="center"/>
    </xf>
    <xf numFmtId="166" fontId="6" fillId="9" borderId="7" xfId="0" applyNumberFormat="1" applyFont="1" applyFill="1" applyBorder="1" applyAlignment="1">
      <alignment horizontal="center" vertical="center"/>
    </xf>
    <xf numFmtId="0" fontId="6" fillId="10"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14" fillId="10" borderId="7" xfId="0" applyFont="1" applyFill="1" applyBorder="1" applyAlignment="1">
      <alignment horizontal="center" vertical="center"/>
    </xf>
    <xf numFmtId="0" fontId="13" fillId="10" borderId="7" xfId="0" applyFont="1" applyFill="1" applyBorder="1" applyAlignment="1">
      <alignment horizontal="center" vertical="center"/>
    </xf>
    <xf numFmtId="0" fontId="6" fillId="10" borderId="7" xfId="0" applyFont="1" applyFill="1" applyBorder="1" applyAlignment="1">
      <alignment vertical="center" wrapText="1"/>
    </xf>
    <xf numFmtId="0" fontId="6" fillId="10" borderId="7" xfId="0" applyFont="1" applyFill="1" applyBorder="1" applyAlignment="1">
      <alignment vertical="center"/>
    </xf>
    <xf numFmtId="14" fontId="6" fillId="10" borderId="7" xfId="0" applyNumberFormat="1" applyFont="1" applyFill="1" applyBorder="1" applyAlignment="1">
      <alignment horizontal="center" vertical="center" wrapText="1"/>
    </xf>
    <xf numFmtId="14" fontId="6" fillId="10" borderId="7" xfId="0" applyNumberFormat="1" applyFont="1" applyFill="1" applyBorder="1" applyAlignment="1">
      <alignment vertical="center"/>
    </xf>
    <xf numFmtId="14" fontId="6" fillId="10" borderId="7" xfId="0" applyNumberFormat="1" applyFont="1" applyFill="1" applyBorder="1" applyAlignment="1">
      <alignment horizontal="center" vertical="center"/>
    </xf>
    <xf numFmtId="49" fontId="6" fillId="10" borderId="7" xfId="0" applyNumberFormat="1" applyFont="1" applyFill="1" applyBorder="1" applyAlignment="1">
      <alignment horizontal="center" vertical="center"/>
    </xf>
    <xf numFmtId="165" fontId="0" fillId="10" borderId="7" xfId="0" applyNumberFormat="1" applyFill="1" applyBorder="1" applyAlignment="1">
      <alignment horizontal="center" vertical="center"/>
    </xf>
    <xf numFmtId="14" fontId="0" fillId="10" borderId="7" xfId="0" applyNumberFormat="1" applyFill="1" applyBorder="1" applyAlignment="1">
      <alignment horizontal="center" vertical="center"/>
    </xf>
    <xf numFmtId="167" fontId="0" fillId="10" borderId="7" xfId="0" applyNumberFormat="1" applyFill="1" applyBorder="1" applyAlignment="1">
      <alignment horizontal="center" vertical="center"/>
    </xf>
    <xf numFmtId="167" fontId="6" fillId="10" borderId="7" xfId="0" applyNumberFormat="1" applyFont="1" applyFill="1" applyBorder="1" applyAlignment="1">
      <alignment horizontal="center" vertical="center"/>
    </xf>
    <xf numFmtId="3" fontId="6" fillId="10" borderId="7" xfId="0" applyNumberFormat="1" applyFont="1" applyFill="1" applyBorder="1" applyAlignment="1">
      <alignment horizontal="center" vertical="center"/>
    </xf>
    <xf numFmtId="166" fontId="6" fillId="10" borderId="7" xfId="0" applyNumberFormat="1" applyFont="1" applyFill="1" applyBorder="1" applyAlignment="1">
      <alignment horizontal="center" vertical="center"/>
    </xf>
    <xf numFmtId="0" fontId="0" fillId="10" borderId="7" xfId="0" applyFill="1" applyBorder="1" applyAlignment="1">
      <alignment horizontal="center" vertical="center"/>
    </xf>
    <xf numFmtId="0" fontId="6" fillId="5" borderId="7" xfId="0" applyFont="1" applyFill="1" applyBorder="1" applyAlignment="1">
      <alignment horizontal="left" vertical="center"/>
    </xf>
    <xf numFmtId="0" fontId="6" fillId="6" borderId="7" xfId="0" applyFont="1" applyFill="1" applyBorder="1" applyAlignment="1">
      <alignment horizontal="left" vertical="center"/>
    </xf>
    <xf numFmtId="0" fontId="6" fillId="7" borderId="7" xfId="0" applyFont="1" applyFill="1" applyBorder="1" applyAlignment="1">
      <alignment horizontal="left" vertical="center"/>
    </xf>
    <xf numFmtId="0" fontId="6" fillId="8" borderId="7" xfId="0" applyFont="1" applyFill="1" applyBorder="1" applyAlignment="1">
      <alignment horizontal="left" vertical="center"/>
    </xf>
    <xf numFmtId="0" fontId="6" fillId="9" borderId="7" xfId="0" applyFont="1" applyFill="1" applyBorder="1" applyAlignment="1">
      <alignment horizontal="left" vertical="center"/>
    </xf>
    <xf numFmtId="0" fontId="6" fillId="10" borderId="7" xfId="0" applyFont="1" applyFill="1" applyBorder="1" applyAlignment="1">
      <alignment horizontal="left" vertical="center"/>
    </xf>
    <xf numFmtId="0" fontId="22" fillId="0" borderId="34" xfId="0" applyFont="1" applyFill="1" applyBorder="1" applyAlignment="1">
      <alignment vertical="center" wrapText="1"/>
    </xf>
    <xf numFmtId="4" fontId="22" fillId="0" borderId="41" xfId="0" applyNumberFormat="1" applyFont="1" applyFill="1" applyBorder="1" applyAlignment="1">
      <alignment horizontal="right" vertical="center"/>
    </xf>
    <xf numFmtId="4" fontId="22" fillId="0" borderId="8" xfId="0" applyNumberFormat="1" applyFont="1" applyFill="1" applyBorder="1" applyAlignment="1">
      <alignment horizontal="right" vertical="center"/>
    </xf>
    <xf numFmtId="4" fontId="22" fillId="0" borderId="7" xfId="0" applyNumberFormat="1" applyFont="1" applyFill="1" applyBorder="1" applyAlignment="1">
      <alignment horizontal="right" vertical="center"/>
    </xf>
    <xf numFmtId="49" fontId="22" fillId="0" borderId="33" xfId="0" applyNumberFormat="1" applyFont="1" applyFill="1" applyBorder="1" applyAlignment="1">
      <alignment horizontal="center" vertical="center" wrapText="1"/>
    </xf>
    <xf numFmtId="4" fontId="22" fillId="11" borderId="7" xfId="0" applyNumberFormat="1" applyFont="1" applyFill="1" applyBorder="1" applyAlignment="1">
      <alignment horizontal="right" vertical="center"/>
    </xf>
    <xf numFmtId="0" fontId="22" fillId="11" borderId="36" xfId="0" applyFont="1" applyFill="1" applyBorder="1" applyAlignment="1">
      <alignment vertical="center" wrapText="1"/>
    </xf>
    <xf numFmtId="0" fontId="23" fillId="0" borderId="0" xfId="1" applyNumberFormat="1" applyFont="1" applyFill="1" applyBorder="1" applyAlignment="1">
      <alignment horizontal="center" vertical="center"/>
    </xf>
    <xf numFmtId="49" fontId="22" fillId="0" borderId="44" xfId="0" applyNumberFormat="1" applyFont="1" applyFill="1" applyBorder="1" applyAlignment="1">
      <alignment horizontal="center" vertical="center" wrapText="1"/>
    </xf>
    <xf numFmtId="0" fontId="22" fillId="0" borderId="44" xfId="0" applyFont="1" applyFill="1" applyBorder="1" applyAlignment="1">
      <alignment horizontal="center" vertical="center" wrapText="1"/>
    </xf>
    <xf numFmtId="4" fontId="22" fillId="0" borderId="45" xfId="0" applyNumberFormat="1" applyFont="1" applyFill="1" applyBorder="1" applyAlignment="1">
      <alignment horizontal="right" vertical="center"/>
    </xf>
    <xf numFmtId="4" fontId="22" fillId="0" borderId="34" xfId="0" applyNumberFormat="1" applyFont="1" applyFill="1" applyBorder="1" applyAlignment="1">
      <alignment horizontal="center" vertical="center"/>
    </xf>
    <xf numFmtId="2" fontId="22" fillId="0" borderId="34" xfId="0" applyNumberFormat="1" applyFont="1" applyBorder="1" applyAlignment="1">
      <alignment horizontal="center"/>
    </xf>
    <xf numFmtId="2" fontId="22" fillId="0" borderId="31" xfId="0" applyNumberFormat="1" applyFont="1" applyBorder="1" applyAlignment="1">
      <alignment horizontal="center"/>
    </xf>
    <xf numFmtId="4" fontId="22" fillId="0" borderId="34" xfId="0" applyNumberFormat="1" applyFont="1" applyBorder="1" applyAlignment="1">
      <alignment horizontal="center"/>
    </xf>
    <xf numFmtId="1" fontId="22" fillId="0" borderId="7" xfId="0" applyNumberFormat="1" applyFont="1" applyFill="1" applyBorder="1" applyAlignment="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Fill="1"/>
    <xf numFmtId="0" fontId="18" fillId="0" borderId="0" xfId="0" applyFont="1" applyFill="1" applyBorder="1"/>
    <xf numFmtId="4" fontId="22" fillId="0" borderId="29" xfId="0" applyNumberFormat="1" applyFont="1" applyBorder="1" applyAlignment="1">
      <alignment horizontal="center"/>
    </xf>
    <xf numFmtId="4" fontId="22" fillId="0" borderId="31" xfId="0" applyNumberFormat="1" applyFont="1" applyBorder="1" applyAlignment="1">
      <alignment horizontal="center"/>
    </xf>
    <xf numFmtId="0" fontId="18" fillId="0" borderId="0" xfId="0" applyFont="1" applyFill="1" applyAlignment="1">
      <alignment horizontal="center" vertical="center"/>
    </xf>
    <xf numFmtId="0" fontId="22" fillId="0" borderId="41" xfId="0" applyFont="1" applyFill="1" applyBorder="1" applyAlignment="1">
      <alignment horizontal="center" vertical="center"/>
    </xf>
    <xf numFmtId="4" fontId="22" fillId="0" borderId="41" xfId="0" applyNumberFormat="1" applyFont="1" applyFill="1" applyBorder="1" applyAlignment="1">
      <alignment horizontal="center" vertical="center"/>
    </xf>
    <xf numFmtId="4" fontId="22" fillId="0" borderId="65" xfId="0" applyNumberFormat="1" applyFont="1" applyFill="1" applyBorder="1" applyAlignment="1">
      <alignment horizontal="right" vertical="center"/>
    </xf>
    <xf numFmtId="4" fontId="22" fillId="11" borderId="65" xfId="0" applyNumberFormat="1" applyFont="1" applyFill="1" applyBorder="1" applyAlignment="1">
      <alignment horizontal="right" vertical="center"/>
    </xf>
    <xf numFmtId="166" fontId="22" fillId="0" borderId="7" xfId="0" applyNumberFormat="1" applyFont="1" applyFill="1" applyBorder="1" applyAlignment="1">
      <alignment horizontal="center" vertical="center"/>
    </xf>
    <xf numFmtId="0" fontId="22" fillId="0" borderId="58" xfId="54" applyFont="1" applyFill="1" applyBorder="1" applyAlignment="1">
      <alignment horizontal="center" vertical="center"/>
    </xf>
    <xf numFmtId="0" fontId="22" fillId="0" borderId="66" xfId="0" applyFont="1" applyFill="1" applyBorder="1" applyAlignment="1">
      <alignment horizontal="center" vertical="center"/>
    </xf>
    <xf numFmtId="0" fontId="22" fillId="0" borderId="65" xfId="0" applyFont="1" applyFill="1" applyBorder="1" applyAlignment="1">
      <alignment horizontal="center" vertical="center"/>
    </xf>
    <xf numFmtId="3" fontId="22" fillId="0" borderId="65" xfId="0" applyNumberFormat="1" applyFont="1" applyFill="1" applyBorder="1" applyAlignment="1">
      <alignment horizontal="center" vertical="center"/>
    </xf>
    <xf numFmtId="1" fontId="22" fillId="0" borderId="65" xfId="0" applyNumberFormat="1" applyFont="1" applyFill="1" applyBorder="1" applyAlignment="1">
      <alignment horizontal="center" vertical="center"/>
    </xf>
    <xf numFmtId="166" fontId="22" fillId="0" borderId="58" xfId="54" applyNumberFormat="1" applyFont="1" applyFill="1" applyBorder="1" applyAlignment="1">
      <alignment horizontal="center" vertical="center"/>
    </xf>
    <xf numFmtId="166" fontId="22" fillId="0" borderId="65" xfId="54" applyNumberFormat="1" applyFont="1" applyFill="1" applyBorder="1" applyAlignment="1">
      <alignment horizontal="center" vertical="center"/>
    </xf>
    <xf numFmtId="0" fontId="22" fillId="0" borderId="67" xfId="0" applyFont="1" applyFill="1" applyBorder="1" applyAlignment="1">
      <alignment horizontal="center" vertical="center"/>
    </xf>
    <xf numFmtId="4" fontId="22" fillId="0" borderId="67" xfId="0" applyNumberFormat="1" applyFont="1" applyFill="1" applyBorder="1" applyAlignment="1">
      <alignment horizontal="right" vertical="center"/>
    </xf>
    <xf numFmtId="3" fontId="22" fillId="0" borderId="67" xfId="0" applyNumberFormat="1" applyFont="1" applyFill="1" applyBorder="1" applyAlignment="1">
      <alignment horizontal="center" vertical="center"/>
    </xf>
    <xf numFmtId="166" fontId="22" fillId="0" borderId="67" xfId="54" applyNumberFormat="1" applyFont="1" applyFill="1" applyBorder="1" applyAlignment="1">
      <alignment horizontal="center" vertical="center"/>
    </xf>
    <xf numFmtId="1" fontId="22" fillId="0" borderId="67" xfId="0" applyNumberFormat="1" applyFont="1" applyFill="1" applyBorder="1" applyAlignment="1">
      <alignment horizontal="center" vertical="center"/>
    </xf>
    <xf numFmtId="4" fontId="22" fillId="11" borderId="67" xfId="0" applyNumberFormat="1" applyFont="1" applyFill="1" applyBorder="1" applyAlignment="1">
      <alignment horizontal="right" vertical="center"/>
    </xf>
    <xf numFmtId="0" fontId="22" fillId="0" borderId="0" xfId="0" applyFont="1" applyBorder="1" applyAlignment="1">
      <alignment horizontal="center"/>
    </xf>
    <xf numFmtId="4" fontId="22" fillId="0" borderId="0" xfId="0" applyNumberFormat="1" applyFont="1" applyBorder="1" applyAlignment="1">
      <alignment horizontal="center"/>
    </xf>
    <xf numFmtId="4" fontId="22" fillId="0" borderId="89" xfId="0" applyNumberFormat="1" applyFont="1" applyFill="1" applyBorder="1" applyAlignment="1">
      <alignment horizontal="right" vertical="center"/>
    </xf>
    <xf numFmtId="0" fontId="22" fillId="0" borderId="89" xfId="0" applyFont="1" applyFill="1" applyBorder="1" applyAlignment="1">
      <alignment horizontal="center" vertical="center"/>
    </xf>
    <xf numFmtId="166" fontId="22" fillId="0" borderId="89" xfId="54" applyNumberFormat="1" applyFont="1" applyFill="1" applyBorder="1" applyAlignment="1">
      <alignment horizontal="center" vertical="center"/>
    </xf>
    <xf numFmtId="1" fontId="22" fillId="0" borderId="89" xfId="0" applyNumberFormat="1" applyFont="1" applyFill="1" applyBorder="1" applyAlignment="1">
      <alignment horizontal="center" vertical="center"/>
    </xf>
    <xf numFmtId="3" fontId="22" fillId="0" borderId="89" xfId="0" applyNumberFormat="1" applyFont="1" applyFill="1" applyBorder="1" applyAlignment="1">
      <alignment horizontal="center" vertical="center"/>
    </xf>
    <xf numFmtId="4" fontId="22" fillId="0" borderId="91" xfId="0" applyNumberFormat="1" applyFont="1" applyFill="1" applyBorder="1" applyAlignment="1">
      <alignment horizontal="right" vertical="center"/>
    </xf>
    <xf numFmtId="0" fontId="22" fillId="0" borderId="91" xfId="0" applyFont="1" applyFill="1" applyBorder="1" applyAlignment="1">
      <alignment horizontal="center" vertical="center"/>
    </xf>
    <xf numFmtId="4" fontId="22" fillId="11" borderId="91" xfId="0" applyNumberFormat="1" applyFont="1" applyFill="1" applyBorder="1" applyAlignment="1">
      <alignment horizontal="right" vertical="center"/>
    </xf>
    <xf numFmtId="0" fontId="23" fillId="0" borderId="100" xfId="1" applyNumberFormat="1" applyFont="1" applyFill="1" applyBorder="1" applyAlignment="1">
      <alignment horizontal="center" vertical="center"/>
    </xf>
    <xf numFmtId="0" fontId="23" fillId="0" borderId="99" xfId="1" applyNumberFormat="1" applyFont="1" applyFill="1" applyBorder="1" applyAlignment="1">
      <alignment horizontal="center" vertical="center"/>
    </xf>
    <xf numFmtId="3" fontId="22" fillId="0" borderId="100" xfId="0" applyNumberFormat="1" applyFont="1" applyFill="1" applyBorder="1" applyAlignment="1">
      <alignment horizontal="center" vertical="center"/>
    </xf>
    <xf numFmtId="4" fontId="22" fillId="0" borderId="100" xfId="0" applyNumberFormat="1" applyFont="1" applyFill="1" applyBorder="1" applyAlignment="1">
      <alignment horizontal="right" vertical="center"/>
    </xf>
    <xf numFmtId="0" fontId="22" fillId="0" borderId="100" xfId="0" applyFont="1" applyFill="1" applyBorder="1" applyAlignment="1">
      <alignment horizontal="center" vertical="center"/>
    </xf>
    <xf numFmtId="166" fontId="22" fillId="0" borderId="100" xfId="54" applyNumberFormat="1" applyFont="1" applyFill="1" applyBorder="1" applyAlignment="1">
      <alignment horizontal="center" vertical="center"/>
    </xf>
    <xf numFmtId="49" fontId="22" fillId="0" borderId="102" xfId="0" applyNumberFormat="1" applyFont="1" applyFill="1" applyBorder="1" applyAlignment="1">
      <alignment horizontal="center" vertical="center" wrapText="1"/>
    </xf>
    <xf numFmtId="4" fontId="22" fillId="0" borderId="101" xfId="0" applyNumberFormat="1" applyFont="1" applyFill="1" applyBorder="1" applyAlignment="1">
      <alignment horizontal="right" vertical="center"/>
    </xf>
    <xf numFmtId="0" fontId="23" fillId="0" borderId="92" xfId="1" applyNumberFormat="1" applyFont="1" applyFill="1" applyBorder="1" applyAlignment="1">
      <alignment horizontal="center" vertical="center"/>
    </xf>
    <xf numFmtId="4" fontId="22" fillId="11" borderId="100" xfId="0" applyNumberFormat="1" applyFont="1" applyFill="1" applyBorder="1" applyAlignment="1">
      <alignment horizontal="right" vertical="center"/>
    </xf>
    <xf numFmtId="0" fontId="23" fillId="0" borderId="96" xfId="1" applyNumberFormat="1" applyFont="1" applyFill="1" applyBorder="1" applyAlignment="1">
      <alignment horizontal="center" vertical="center"/>
    </xf>
    <xf numFmtId="0" fontId="23" fillId="0" borderId="95" xfId="1" applyNumberFormat="1" applyFont="1" applyFill="1" applyBorder="1" applyAlignment="1">
      <alignment horizontal="center" vertical="center"/>
    </xf>
    <xf numFmtId="0" fontId="18" fillId="0" borderId="103" xfId="0" applyFont="1" applyFill="1" applyBorder="1"/>
    <xf numFmtId="4" fontId="22" fillId="0" borderId="104" xfId="0" applyNumberFormat="1" applyFont="1" applyFill="1" applyBorder="1" applyAlignment="1">
      <alignment horizontal="right" vertical="center"/>
    </xf>
    <xf numFmtId="166" fontId="22" fillId="0" borderId="104" xfId="54" applyNumberFormat="1" applyFont="1" applyFill="1" applyBorder="1" applyAlignment="1">
      <alignment horizontal="center" vertical="center"/>
    </xf>
    <xf numFmtId="0" fontId="22" fillId="0" borderId="107" xfId="0" applyFont="1" applyFill="1" applyBorder="1" applyAlignment="1">
      <alignment horizontal="center" vertical="center" wrapText="1"/>
    </xf>
    <xf numFmtId="0" fontId="22" fillId="0" borderId="108" xfId="0" applyFont="1" applyFill="1" applyBorder="1" applyAlignment="1">
      <alignment horizontal="center" vertical="center" wrapText="1"/>
    </xf>
    <xf numFmtId="0" fontId="22" fillId="0" borderId="108" xfId="0" applyFont="1" applyFill="1" applyBorder="1" applyAlignment="1">
      <alignment horizontal="center" vertical="center" wrapText="1" shrinkToFit="1"/>
    </xf>
    <xf numFmtId="49" fontId="22" fillId="0" borderId="105" xfId="0" applyNumberFormat="1" applyFont="1" applyFill="1" applyBorder="1" applyAlignment="1">
      <alignment horizontal="center" vertical="center" wrapText="1"/>
    </xf>
    <xf numFmtId="0" fontId="22" fillId="0" borderId="105" xfId="0" applyFont="1" applyFill="1" applyBorder="1" applyAlignment="1">
      <alignment vertical="center" wrapText="1"/>
    </xf>
    <xf numFmtId="0" fontId="22" fillId="0" borderId="105" xfId="0" applyNumberFormat="1" applyFont="1" applyFill="1" applyBorder="1" applyAlignment="1">
      <alignment horizontal="center" vertical="center" wrapText="1"/>
    </xf>
    <xf numFmtId="49" fontId="24" fillId="0" borderId="105" xfId="0" applyNumberFormat="1" applyFont="1" applyFill="1" applyBorder="1" applyAlignment="1">
      <alignment horizontal="center" vertical="center" wrapText="1"/>
    </xf>
    <xf numFmtId="0" fontId="24" fillId="0" borderId="105" xfId="0" applyFont="1" applyFill="1" applyBorder="1" applyAlignment="1">
      <alignment vertical="center" wrapText="1"/>
    </xf>
    <xf numFmtId="0" fontId="22" fillId="0" borderId="105" xfId="0" applyFont="1" applyFill="1" applyBorder="1" applyAlignment="1">
      <alignment horizontal="left" vertical="center" wrapText="1"/>
    </xf>
    <xf numFmtId="0" fontId="22" fillId="0" borderId="105" xfId="0" applyFont="1" applyFill="1" applyBorder="1" applyAlignment="1">
      <alignment vertical="center" wrapText="1" shrinkToFit="1"/>
    </xf>
    <xf numFmtId="49" fontId="22" fillId="0" borderId="105" xfId="0" applyNumberFormat="1" applyFont="1" applyFill="1" applyBorder="1" applyAlignment="1">
      <alignment horizontal="left" vertical="center" wrapText="1"/>
    </xf>
    <xf numFmtId="0" fontId="22" fillId="0" borderId="112" xfId="0" applyFont="1" applyFill="1" applyBorder="1" applyAlignment="1">
      <alignment horizontal="center" vertical="center" wrapText="1"/>
    </xf>
    <xf numFmtId="0" fontId="22" fillId="0" borderId="112" xfId="0" applyFont="1" applyFill="1" applyBorder="1" applyAlignment="1">
      <alignment horizontal="center" vertical="center" wrapText="1" shrinkToFit="1"/>
    </xf>
    <xf numFmtId="49" fontId="22" fillId="0" borderId="113" xfId="0" applyNumberFormat="1" applyFont="1" applyFill="1" applyBorder="1" applyAlignment="1">
      <alignment horizontal="center" vertical="center" wrapText="1"/>
    </xf>
    <xf numFmtId="0" fontId="22" fillId="0" borderId="113" xfId="0" applyFont="1" applyFill="1" applyBorder="1" applyAlignment="1">
      <alignment vertical="center" wrapText="1"/>
    </xf>
    <xf numFmtId="49" fontId="24" fillId="0" borderId="113" xfId="0" applyNumberFormat="1" applyFont="1" applyFill="1" applyBorder="1" applyAlignment="1">
      <alignment horizontal="center" vertical="center" wrapText="1"/>
    </xf>
    <xf numFmtId="0" fontId="24" fillId="0" borderId="113" xfId="0" applyFont="1" applyFill="1" applyBorder="1" applyAlignment="1">
      <alignment vertical="center" wrapText="1"/>
    </xf>
    <xf numFmtId="0" fontId="22" fillId="0" borderId="113" xfId="0" applyFont="1" applyFill="1" applyBorder="1" applyAlignment="1">
      <alignment horizontal="left" vertical="center" wrapText="1"/>
    </xf>
    <xf numFmtId="0" fontId="22" fillId="0" borderId="113" xfId="0" applyFont="1" applyFill="1" applyBorder="1" applyAlignment="1">
      <alignment vertical="center" wrapText="1" shrinkToFit="1"/>
    </xf>
    <xf numFmtId="49" fontId="22" fillId="0" borderId="113" xfId="0" applyNumberFormat="1" applyFont="1" applyFill="1" applyBorder="1" applyAlignment="1">
      <alignment horizontal="left" vertical="center" wrapText="1"/>
    </xf>
    <xf numFmtId="0" fontId="22" fillId="0" borderId="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27" xfId="0" applyFont="1" applyBorder="1" applyAlignment="1">
      <alignment horizontal="center"/>
    </xf>
    <xf numFmtId="0" fontId="22" fillId="0" borderId="7" xfId="0" applyFont="1" applyBorder="1" applyAlignment="1">
      <alignment horizontal="center"/>
    </xf>
    <xf numFmtId="0" fontId="22" fillId="0" borderId="30" xfId="0" applyFont="1" applyBorder="1" applyAlignment="1">
      <alignment horizontal="center"/>
    </xf>
    <xf numFmtId="0" fontId="22" fillId="0" borderId="28" xfId="0" applyFont="1" applyBorder="1" applyAlignment="1">
      <alignment horizontal="center"/>
    </xf>
    <xf numFmtId="49" fontId="22" fillId="0" borderId="27" xfId="0" applyNumberFormat="1" applyFont="1" applyFill="1" applyBorder="1" applyAlignment="1">
      <alignment horizontal="center" vertical="center" wrapText="1"/>
    </xf>
    <xf numFmtId="0" fontId="22" fillId="0" borderId="27" xfId="0" applyFont="1" applyFill="1" applyBorder="1" applyAlignment="1">
      <alignment vertical="center" wrapText="1"/>
    </xf>
    <xf numFmtId="0" fontId="23" fillId="0" borderId="120" xfId="1"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123" xfId="0" applyNumberFormat="1" applyFont="1" applyFill="1" applyBorder="1" applyAlignment="1">
      <alignment horizontal="center" vertical="center"/>
    </xf>
    <xf numFmtId="49" fontId="22" fillId="0" borderId="42" xfId="0" applyNumberFormat="1" applyFont="1" applyFill="1" applyBorder="1" applyAlignment="1">
      <alignment horizontal="center" vertical="center" wrapText="1"/>
    </xf>
    <xf numFmtId="0" fontId="22" fillId="0" borderId="124" xfId="0" applyFont="1" applyFill="1" applyBorder="1" applyAlignment="1">
      <alignment vertical="center" wrapText="1"/>
    </xf>
    <xf numFmtId="0" fontId="23" fillId="0" borderId="127" xfId="1" applyNumberFormat="1" applyFont="1" applyFill="1" applyBorder="1" applyAlignment="1">
      <alignment horizontal="center" vertical="center"/>
    </xf>
    <xf numFmtId="0" fontId="22" fillId="0" borderId="127" xfId="0" applyFont="1" applyFill="1" applyBorder="1" applyAlignment="1">
      <alignment vertical="center" wrapText="1"/>
    </xf>
    <xf numFmtId="0" fontId="22" fillId="0" borderId="127"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8" fillId="0" borderId="0" xfId="0" applyFont="1" applyBorder="1"/>
    <xf numFmtId="0" fontId="22" fillId="0" borderId="127" xfId="0" applyFont="1" applyFill="1" applyBorder="1" applyAlignment="1">
      <alignment horizontal="center" vertical="center"/>
    </xf>
    <xf numFmtId="4" fontId="22" fillId="0" borderId="127" xfId="0" applyNumberFormat="1" applyFont="1" applyFill="1" applyBorder="1" applyAlignment="1">
      <alignment horizontal="right" vertical="center"/>
    </xf>
    <xf numFmtId="49" fontId="22" fillId="0" borderId="133" xfId="0" applyNumberFormat="1" applyFont="1" applyFill="1" applyBorder="1" applyAlignment="1">
      <alignment horizontal="center" vertical="center" wrapText="1"/>
    </xf>
    <xf numFmtId="0" fontId="22" fillId="0" borderId="120" xfId="0" applyFont="1" applyFill="1" applyBorder="1" applyAlignment="1">
      <alignment horizontal="center" vertical="center" wrapText="1"/>
    </xf>
    <xf numFmtId="1" fontId="22" fillId="0" borderId="127" xfId="0" applyNumberFormat="1" applyFont="1" applyFill="1" applyBorder="1" applyAlignment="1">
      <alignment horizontal="center" vertical="center"/>
    </xf>
    <xf numFmtId="0" fontId="22" fillId="0" borderId="125" xfId="0" applyFont="1" applyFill="1" applyBorder="1" applyAlignment="1">
      <alignment vertical="center" wrapText="1"/>
    </xf>
    <xf numFmtId="49" fontId="24" fillId="0" borderId="133" xfId="0" applyNumberFormat="1" applyFont="1" applyFill="1" applyBorder="1" applyAlignment="1">
      <alignment horizontal="center" vertical="center" wrapText="1"/>
    </xf>
    <xf numFmtId="0" fontId="24" fillId="0" borderId="127" xfId="0" applyFont="1" applyFill="1" applyBorder="1" applyAlignment="1">
      <alignment vertical="center" wrapText="1"/>
    </xf>
    <xf numFmtId="0" fontId="24" fillId="0" borderId="121" xfId="0" applyFont="1" applyFill="1" applyBorder="1" applyAlignment="1">
      <alignment vertical="center" wrapText="1"/>
    </xf>
    <xf numFmtId="0" fontId="22" fillId="0" borderId="127" xfId="0" applyFont="1" applyFill="1" applyBorder="1" applyAlignment="1">
      <alignment horizontal="left" vertical="center" wrapText="1"/>
    </xf>
    <xf numFmtId="0" fontId="22" fillId="0" borderId="127" xfId="0" applyFont="1" applyFill="1" applyBorder="1" applyAlignment="1">
      <alignment vertical="center" wrapText="1" shrinkToFit="1"/>
    </xf>
    <xf numFmtId="0" fontId="22" fillId="0" borderId="127" xfId="0" applyFont="1" applyFill="1" applyBorder="1" applyAlignment="1">
      <alignment horizontal="center" vertical="center" wrapText="1" shrinkToFit="1"/>
    </xf>
    <xf numFmtId="0" fontId="18" fillId="0" borderId="127" xfId="0" applyFont="1" applyFill="1" applyBorder="1"/>
    <xf numFmtId="49" fontId="22" fillId="0" borderId="121" xfId="0" applyNumberFormat="1" applyFont="1" applyFill="1" applyBorder="1" applyAlignment="1">
      <alignment horizontal="left" vertical="center" wrapText="1"/>
    </xf>
    <xf numFmtId="0" fontId="22" fillId="0" borderId="121" xfId="0" applyFont="1" applyFill="1" applyBorder="1" applyAlignment="1">
      <alignment vertical="center" wrapText="1"/>
    </xf>
    <xf numFmtId="0" fontId="22" fillId="0" borderId="127" xfId="0" applyFont="1" applyBorder="1" applyAlignment="1">
      <alignment horizontal="center"/>
    </xf>
    <xf numFmtId="2" fontId="22" fillId="0" borderId="122" xfId="0" applyNumberFormat="1" applyFont="1" applyBorder="1" applyAlignment="1">
      <alignment horizontal="center"/>
    </xf>
    <xf numFmtId="0" fontId="22" fillId="0" borderId="131" xfId="0" applyFont="1" applyBorder="1" applyAlignment="1">
      <alignment horizontal="center"/>
    </xf>
    <xf numFmtId="2" fontId="22" fillId="0" borderId="132" xfId="0" applyNumberFormat="1" applyFont="1" applyBorder="1" applyAlignment="1">
      <alignment horizontal="center"/>
    </xf>
    <xf numFmtId="49" fontId="22" fillId="0" borderId="136" xfId="0" applyNumberFormat="1" applyFont="1" applyFill="1" applyBorder="1" applyAlignment="1">
      <alignment horizontal="center" vertical="center" wrapText="1"/>
    </xf>
    <xf numFmtId="0" fontId="22" fillId="0" borderId="122" xfId="0" applyFont="1" applyFill="1" applyBorder="1" applyAlignment="1">
      <alignment vertical="center" wrapText="1"/>
    </xf>
    <xf numFmtId="0" fontId="22" fillId="0" borderId="133" xfId="0" applyFont="1" applyFill="1" applyBorder="1" applyAlignment="1">
      <alignment horizontal="center" vertical="center" wrapText="1"/>
    </xf>
    <xf numFmtId="4" fontId="22" fillId="0" borderId="126" xfId="0" applyNumberFormat="1" applyFont="1" applyFill="1" applyBorder="1" applyAlignment="1">
      <alignment horizontal="right" vertical="center"/>
    </xf>
    <xf numFmtId="0" fontId="22" fillId="11" borderId="123" xfId="0" applyFont="1" applyFill="1" applyBorder="1" applyAlignment="1">
      <alignment vertical="center" wrapText="1"/>
    </xf>
    <xf numFmtId="4" fontId="22" fillId="0" borderId="122" xfId="0" applyNumberFormat="1" applyFont="1" applyBorder="1" applyAlignment="1">
      <alignment horizontal="center"/>
    </xf>
    <xf numFmtId="4" fontId="22" fillId="0" borderId="132" xfId="0" applyNumberFormat="1" applyFont="1" applyBorder="1" applyAlignment="1">
      <alignment horizont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49" fontId="22" fillId="0" borderId="127" xfId="0" applyNumberFormat="1" applyFont="1" applyFill="1" applyBorder="1" applyAlignment="1">
      <alignment horizontal="left" vertical="center" wrapText="1"/>
    </xf>
    <xf numFmtId="0" fontId="22" fillId="0" borderId="120" xfId="0" applyFont="1" applyFill="1" applyBorder="1" applyAlignment="1">
      <alignment horizontal="center" vertical="center" wrapText="1" shrinkToFit="1"/>
    </xf>
    <xf numFmtId="0" fontId="22" fillId="0" borderId="130" xfId="0" applyFont="1" applyFill="1" applyBorder="1" applyAlignment="1">
      <alignment horizontal="center" vertical="center" wrapText="1"/>
    </xf>
    <xf numFmtId="0" fontId="22" fillId="0" borderId="136" xfId="0" applyFont="1" applyFill="1" applyBorder="1" applyAlignment="1">
      <alignment horizontal="center" vertical="center" wrapText="1"/>
    </xf>
    <xf numFmtId="0" fontId="23" fillId="0" borderId="94" xfId="1" applyNumberFormat="1" applyFont="1" applyFill="1" applyBorder="1" applyAlignment="1">
      <alignment horizontal="center" vertical="center"/>
    </xf>
    <xf numFmtId="0" fontId="18" fillId="0" borderId="9"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11" borderId="0" xfId="0" applyFont="1" applyFill="1" applyAlignment="1">
      <alignment horizontal="center" vertical="center"/>
    </xf>
    <xf numFmtId="0" fontId="18" fillId="0" borderId="109" xfId="0" applyFont="1" applyFill="1" applyBorder="1"/>
    <xf numFmtId="0" fontId="19" fillId="0" borderId="103" xfId="0" applyFont="1" applyFill="1" applyBorder="1"/>
    <xf numFmtId="0" fontId="19" fillId="0" borderId="0" xfId="0" applyFont="1" applyFill="1"/>
    <xf numFmtId="0" fontId="18" fillId="0" borderId="26" xfId="0" applyFont="1" applyFill="1" applyBorder="1"/>
    <xf numFmtId="0" fontId="19" fillId="0" borderId="0" xfId="0" applyFont="1" applyFill="1" applyBorder="1"/>
    <xf numFmtId="0" fontId="18" fillId="0" borderId="95" xfId="0" applyFont="1" applyBorder="1"/>
    <xf numFmtId="9" fontId="23" fillId="0" borderId="93" xfId="2" applyFont="1" applyFill="1" applyBorder="1" applyAlignment="1">
      <alignment horizontal="center" vertical="center" wrapText="1"/>
    </xf>
    <xf numFmtId="9" fontId="23" fillId="0" borderId="94" xfId="2" applyFont="1" applyFill="1" applyBorder="1" applyAlignment="1">
      <alignment horizontal="center" vertical="center" wrapText="1"/>
    </xf>
    <xf numFmtId="9" fontId="23" fillId="0" borderId="68" xfId="2" applyFont="1" applyFill="1" applyBorder="1" applyAlignment="1">
      <alignment horizontal="center" vertical="center" wrapText="1"/>
    </xf>
    <xf numFmtId="0" fontId="22" fillId="0" borderId="133" xfId="0" applyFont="1" applyBorder="1" applyAlignment="1">
      <alignment horizontal="center"/>
    </xf>
    <xf numFmtId="0" fontId="22" fillId="0" borderId="127" xfId="0" applyFont="1" applyBorder="1" applyAlignment="1">
      <alignment horizontal="center"/>
    </xf>
    <xf numFmtId="0" fontId="19" fillId="0" borderId="0" xfId="0" applyFont="1" applyFill="1" applyBorder="1" applyAlignment="1">
      <alignment horizontal="right" vertical="center" wrapText="1"/>
    </xf>
    <xf numFmtId="0" fontId="72" fillId="0" borderId="0" xfId="0" applyFont="1"/>
    <xf numFmtId="0" fontId="72" fillId="0" borderId="0" xfId="0" applyFont="1" applyFill="1" applyAlignment="1">
      <alignment horizontal="center" vertical="center"/>
    </xf>
    <xf numFmtId="0" fontId="73" fillId="0" borderId="0" xfId="0" applyFont="1" applyFill="1"/>
    <xf numFmtId="0" fontId="74" fillId="0" borderId="0" xfId="0" applyFont="1" applyFill="1"/>
    <xf numFmtId="2" fontId="19" fillId="11" borderId="0" xfId="4" applyNumberFormat="1" applyFont="1" applyFill="1" applyBorder="1" applyAlignment="1">
      <alignment vertical="center" wrapText="1"/>
    </xf>
    <xf numFmtId="2" fontId="19" fillId="0" borderId="0" xfId="4" applyNumberFormat="1" applyFont="1" applyFill="1" applyBorder="1" applyAlignment="1">
      <alignment vertical="center" wrapText="1"/>
    </xf>
    <xf numFmtId="0" fontId="74" fillId="11" borderId="0" xfId="0" applyFont="1" applyFill="1" applyAlignment="1" applyProtection="1">
      <alignment vertical="center"/>
    </xf>
    <xf numFmtId="0" fontId="76" fillId="3" borderId="0" xfId="0" applyFont="1" applyFill="1" applyAlignment="1" applyProtection="1">
      <alignment vertical="center" wrapText="1"/>
    </xf>
    <xf numFmtId="0" fontId="77" fillId="0" borderId="0" xfId="0" applyFont="1" applyFill="1" applyProtection="1"/>
    <xf numFmtId="0" fontId="74" fillId="0" borderId="0" xfId="0" applyFont="1" applyFill="1" applyAlignment="1" applyProtection="1">
      <alignment vertical="center" wrapText="1"/>
    </xf>
    <xf numFmtId="0" fontId="78" fillId="11" borderId="0" xfId="0" applyFont="1" applyFill="1" applyAlignment="1" applyProtection="1">
      <alignment horizontal="right" vertical="center" wrapText="1"/>
    </xf>
    <xf numFmtId="0" fontId="78" fillId="0" borderId="0" xfId="0" applyFont="1" applyFill="1" applyAlignment="1" applyProtection="1">
      <alignment vertical="center" wrapText="1"/>
    </xf>
    <xf numFmtId="0" fontId="74" fillId="11" borderId="0" xfId="0" applyFont="1" applyFill="1" applyAlignment="1" applyProtection="1">
      <alignment horizontal="left" vertical="top" wrapText="1"/>
    </xf>
    <xf numFmtId="0" fontId="74" fillId="0" borderId="0" xfId="0" applyFont="1" applyFill="1" applyAlignment="1" applyProtection="1">
      <alignment vertical="top" wrapText="1"/>
    </xf>
    <xf numFmtId="0" fontId="74" fillId="0" borderId="0" xfId="0" applyFont="1" applyFill="1" applyAlignment="1" applyProtection="1">
      <alignment vertical="center"/>
    </xf>
    <xf numFmtId="0" fontId="23" fillId="0" borderId="38" xfId="1" applyNumberFormat="1" applyFont="1" applyFill="1" applyBorder="1" applyAlignment="1">
      <alignment horizontal="center" vertical="center"/>
    </xf>
    <xf numFmtId="0" fontId="23" fillId="0" borderId="90" xfId="1" applyNumberFormat="1" applyFont="1" applyFill="1" applyBorder="1" applyAlignment="1">
      <alignment horizontal="center" vertical="center"/>
    </xf>
    <xf numFmtId="9" fontId="23" fillId="0" borderId="1" xfId="2" applyFont="1" applyFill="1" applyBorder="1" applyAlignment="1">
      <alignment horizontal="center" vertical="center" wrapText="1"/>
    </xf>
    <xf numFmtId="0" fontId="74" fillId="0" borderId="127" xfId="0" applyFont="1" applyBorder="1" applyAlignment="1">
      <alignment horizontal="center" vertical="center"/>
    </xf>
    <xf numFmtId="4" fontId="19" fillId="0" borderId="127" xfId="0" applyNumberFormat="1" applyFont="1" applyBorder="1" applyAlignment="1">
      <alignment horizontal="center" vertical="center"/>
    </xf>
    <xf numFmtId="0" fontId="76" fillId="0" borderId="0" xfId="0" applyFont="1"/>
    <xf numFmtId="0" fontId="80" fillId="0" borderId="0" xfId="0" applyFont="1" applyAlignment="1">
      <alignment horizontal="left"/>
    </xf>
    <xf numFmtId="2" fontId="80" fillId="0" borderId="0" xfId="0" applyNumberFormat="1" applyFont="1" applyAlignment="1">
      <alignment horizontal="left"/>
    </xf>
    <xf numFmtId="0" fontId="81" fillId="11" borderId="0" xfId="0" applyFont="1" applyFill="1" applyAlignment="1" applyProtection="1">
      <alignment vertical="center"/>
    </xf>
    <xf numFmtId="0" fontId="82" fillId="3" borderId="0" xfId="0" applyFont="1" applyFill="1" applyAlignment="1" applyProtection="1">
      <alignment vertical="center" wrapText="1"/>
    </xf>
    <xf numFmtId="0" fontId="83" fillId="0" borderId="0" xfId="0" applyFont="1" applyFill="1" applyProtection="1"/>
    <xf numFmtId="0" fontId="81" fillId="0" borderId="0" xfId="0" applyFont="1" applyFill="1" applyAlignment="1" applyProtection="1">
      <alignment vertical="center" wrapText="1"/>
    </xf>
    <xf numFmtId="0" fontId="84" fillId="0" borderId="0" xfId="0" applyFont="1"/>
    <xf numFmtId="0" fontId="85" fillId="11" borderId="0" xfId="0" applyFont="1" applyFill="1" applyAlignment="1" applyProtection="1">
      <alignment horizontal="right" vertical="center" wrapText="1"/>
    </xf>
    <xf numFmtId="0" fontId="85" fillId="0" borderId="0" xfId="0" applyFont="1" applyFill="1" applyAlignment="1" applyProtection="1">
      <alignment vertical="center" wrapText="1"/>
    </xf>
    <xf numFmtId="0" fontId="81" fillId="11" borderId="0" xfId="0" applyFont="1" applyFill="1" applyAlignment="1" applyProtection="1">
      <alignment horizontal="left" vertical="top" wrapText="1"/>
    </xf>
    <xf numFmtId="0" fontId="81" fillId="0" borderId="0" xfId="0" applyFont="1" applyFill="1" applyAlignment="1" applyProtection="1">
      <alignment vertical="top" wrapText="1"/>
    </xf>
    <xf numFmtId="2" fontId="55" fillId="11" borderId="0" xfId="4" applyNumberFormat="1" applyFont="1" applyFill="1" applyBorder="1" applyAlignment="1">
      <alignment vertical="center" wrapText="1"/>
    </xf>
    <xf numFmtId="2" fontId="55" fillId="0" borderId="0" xfId="4" applyNumberFormat="1" applyFont="1" applyFill="1" applyBorder="1" applyAlignment="1">
      <alignment vertical="center" wrapText="1"/>
    </xf>
    <xf numFmtId="0" fontId="81" fillId="0" borderId="0" xfId="0" applyFont="1" applyFill="1" applyAlignment="1" applyProtection="1">
      <alignment vertical="center"/>
    </xf>
    <xf numFmtId="2" fontId="55" fillId="0" borderId="95" xfId="4" applyNumberFormat="1" applyFont="1" applyFill="1" applyBorder="1" applyAlignment="1">
      <alignment vertical="center"/>
    </xf>
    <xf numFmtId="2" fontId="55" fillId="0" borderId="0" xfId="4" applyNumberFormat="1" applyFont="1" applyFill="1" applyBorder="1" applyAlignment="1">
      <alignment vertical="center"/>
    </xf>
    <xf numFmtId="0" fontId="84" fillId="0" borderId="0" xfId="0" applyFont="1" applyFill="1"/>
    <xf numFmtId="0" fontId="55" fillId="0" borderId="0" xfId="0" applyFont="1" applyFill="1" applyBorder="1"/>
    <xf numFmtId="0" fontId="84" fillId="0" borderId="0" xfId="0" applyFont="1" applyFill="1" applyBorder="1"/>
    <xf numFmtId="0" fontId="84" fillId="0" borderId="0" xfId="0" applyFont="1" applyFill="1" applyBorder="1" applyAlignment="1">
      <alignment horizontal="center" vertical="center"/>
    </xf>
    <xf numFmtId="0" fontId="55" fillId="0" borderId="0" xfId="0" applyFont="1" applyFill="1" applyBorder="1" applyAlignment="1">
      <alignment horizontal="right" vertical="center" wrapText="1"/>
    </xf>
    <xf numFmtId="2" fontId="55" fillId="0" borderId="95" xfId="4" applyNumberFormat="1" applyFont="1" applyFill="1" applyBorder="1" applyAlignment="1">
      <alignment horizontal="center" vertical="center" wrapText="1"/>
    </xf>
    <xf numFmtId="2" fontId="55" fillId="0" borderId="0" xfId="4" applyNumberFormat="1" applyFont="1" applyFill="1" applyBorder="1" applyAlignment="1">
      <alignment horizontal="center" vertical="center" wrapText="1"/>
    </xf>
    <xf numFmtId="0" fontId="87" fillId="11" borderId="0" xfId="1406" applyFont="1" applyFill="1" applyBorder="1" applyAlignment="1" applyProtection="1">
      <alignment vertical="center" wrapText="1"/>
    </xf>
    <xf numFmtId="0" fontId="71" fillId="11" borderId="0" xfId="1406" quotePrefix="1" applyFont="1" applyFill="1" applyBorder="1" applyAlignment="1" applyProtection="1">
      <alignment vertical="center" wrapText="1"/>
    </xf>
    <xf numFmtId="0" fontId="71" fillId="0" borderId="0" xfId="1406" quotePrefix="1" applyFont="1" applyFill="1" applyBorder="1" applyAlignment="1" applyProtection="1">
      <alignment vertical="center" wrapText="1"/>
    </xf>
    <xf numFmtId="0" fontId="75" fillId="0" borderId="0" xfId="0" applyFont="1" applyProtection="1">
      <protection locked="0"/>
    </xf>
    <xf numFmtId="0" fontId="71" fillId="0" borderId="0" xfId="0" applyFont="1" applyFill="1" applyBorder="1" applyAlignment="1" applyProtection="1">
      <alignment horizontal="center" vertical="center" wrapText="1"/>
      <protection locked="0"/>
    </xf>
    <xf numFmtId="0" fontId="71" fillId="0" borderId="0" xfId="0" applyFont="1" applyFill="1" applyAlignment="1" applyProtection="1">
      <alignment horizontal="left" vertical="center" wrapText="1"/>
      <protection locked="0"/>
    </xf>
    <xf numFmtId="0" fontId="71" fillId="0" borderId="0" xfId="0" applyFont="1" applyFill="1" applyBorder="1" applyAlignment="1" applyProtection="1">
      <alignment vertical="center" wrapText="1"/>
      <protection locked="0"/>
    </xf>
    <xf numFmtId="0" fontId="71" fillId="0" borderId="0" xfId="0" applyFont="1" applyFill="1" applyAlignment="1" applyProtection="1">
      <alignment horizontal="center" vertical="center" wrapText="1"/>
      <protection locked="0"/>
    </xf>
    <xf numFmtId="0" fontId="71" fillId="0" borderId="0" xfId="0" applyFont="1" applyFill="1" applyAlignment="1" applyProtection="1">
      <alignment horizontal="right" vertical="center" wrapText="1"/>
      <protection locked="0"/>
    </xf>
    <xf numFmtId="0" fontId="22" fillId="0" borderId="137" xfId="0" applyFont="1" applyBorder="1" applyAlignment="1">
      <alignment horizontal="center"/>
    </xf>
    <xf numFmtId="0" fontId="22" fillId="0" borderId="128" xfId="0" applyFont="1" applyBorder="1" applyAlignment="1">
      <alignment horizontal="center"/>
    </xf>
    <xf numFmtId="4" fontId="22" fillId="0" borderId="126" xfId="0" applyNumberFormat="1" applyFont="1" applyBorder="1" applyAlignment="1">
      <alignment horizontal="center"/>
    </xf>
    <xf numFmtId="9" fontId="23" fillId="0" borderId="97" xfId="2" applyFont="1" applyFill="1" applyBorder="1" applyAlignment="1">
      <alignment horizontal="center" vertical="center" wrapText="1"/>
    </xf>
    <xf numFmtId="4" fontId="22" fillId="0" borderId="127" xfId="0" applyNumberFormat="1" applyFont="1" applyFill="1" applyBorder="1" applyAlignment="1">
      <alignment horizontal="center" vertical="center"/>
    </xf>
    <xf numFmtId="0" fontId="22" fillId="0" borderId="125" xfId="0" applyFont="1" applyFill="1" applyBorder="1" applyAlignment="1">
      <alignment horizontal="center" vertical="center"/>
    </xf>
    <xf numFmtId="1" fontId="22" fillId="0" borderId="125" xfId="0" applyNumberFormat="1" applyFont="1" applyFill="1" applyBorder="1" applyAlignment="1">
      <alignment horizontal="center" vertical="center"/>
    </xf>
    <xf numFmtId="3" fontId="22" fillId="0" borderId="125" xfId="0" applyNumberFormat="1" applyFont="1" applyFill="1" applyBorder="1" applyAlignment="1">
      <alignment horizontal="center" vertical="center"/>
    </xf>
    <xf numFmtId="166" fontId="22" fillId="0" borderId="125" xfId="54" applyNumberFormat="1" applyFont="1" applyFill="1" applyBorder="1" applyAlignment="1">
      <alignment horizontal="center" vertical="center"/>
    </xf>
    <xf numFmtId="0" fontId="22" fillId="0" borderId="125" xfId="54" applyFont="1" applyFill="1" applyBorder="1" applyAlignment="1">
      <alignment horizontal="center" vertical="center"/>
    </xf>
    <xf numFmtId="166" fontId="22" fillId="0" borderId="125" xfId="0" applyNumberFormat="1" applyFont="1" applyFill="1" applyBorder="1" applyAlignment="1">
      <alignment horizontal="center" vertical="center"/>
    </xf>
    <xf numFmtId="0" fontId="22" fillId="0" borderId="139" xfId="0" applyFont="1" applyFill="1" applyBorder="1" applyAlignment="1">
      <alignment horizontal="center" vertical="center"/>
    </xf>
    <xf numFmtId="4" fontId="22" fillId="0" borderId="133" xfId="0" applyNumberFormat="1" applyFont="1" applyFill="1" applyBorder="1" applyAlignment="1">
      <alignment horizontal="right" vertical="center"/>
    </xf>
    <xf numFmtId="0" fontId="23" fillId="0" borderId="122" xfId="1" applyNumberFormat="1" applyFont="1" applyFill="1" applyBorder="1" applyAlignment="1">
      <alignment horizontal="center" vertical="center"/>
    </xf>
    <xf numFmtId="3" fontId="22" fillId="0" borderId="133" xfId="0" applyNumberFormat="1" applyFont="1" applyFill="1" applyBorder="1" applyAlignment="1">
      <alignment horizontal="center" vertical="center"/>
    </xf>
    <xf numFmtId="4" fontId="22" fillId="11" borderId="133" xfId="0" applyNumberFormat="1" applyFont="1" applyFill="1" applyBorder="1" applyAlignment="1">
      <alignment horizontal="right" vertical="center"/>
    </xf>
    <xf numFmtId="4" fontId="22" fillId="11" borderId="92" xfId="0" applyNumberFormat="1" applyFont="1" applyFill="1" applyBorder="1" applyAlignment="1">
      <alignment horizontal="right" vertical="center"/>
    </xf>
    <xf numFmtId="4" fontId="22" fillId="0" borderId="131" xfId="0" applyNumberFormat="1" applyFont="1" applyFill="1" applyBorder="1" applyAlignment="1">
      <alignment horizontal="center" vertical="center"/>
    </xf>
    <xf numFmtId="0" fontId="23" fillId="0" borderId="132" xfId="1" applyNumberFormat="1" applyFont="1" applyFill="1" applyBorder="1" applyAlignment="1">
      <alignment horizontal="center" vertical="center"/>
    </xf>
    <xf numFmtId="2" fontId="22" fillId="0" borderId="127" xfId="0" applyNumberFormat="1" applyFont="1" applyBorder="1" applyAlignment="1">
      <alignment horizontal="center"/>
    </xf>
    <xf numFmtId="9" fontId="23" fillId="0" borderId="29" xfId="2" applyFont="1" applyFill="1" applyBorder="1" applyAlignment="1">
      <alignment horizontal="center" vertical="center" wrapText="1"/>
    </xf>
    <xf numFmtId="0" fontId="71" fillId="0" borderId="122" xfId="1" applyNumberFormat="1" applyFont="1" applyFill="1" applyBorder="1" applyAlignment="1">
      <alignment horizontal="center" vertical="center"/>
    </xf>
    <xf numFmtId="0" fontId="22" fillId="0" borderId="92" xfId="0" applyFont="1" applyBorder="1" applyAlignment="1">
      <alignment horizontal="center"/>
    </xf>
    <xf numFmtId="2" fontId="22" fillId="0" borderId="131" xfId="0" applyNumberFormat="1" applyFont="1" applyBorder="1" applyAlignment="1">
      <alignment horizontal="center"/>
    </xf>
    <xf numFmtId="4" fontId="22" fillId="0" borderId="38" xfId="0" applyNumberFormat="1" applyFont="1" applyFill="1" applyBorder="1" applyAlignment="1">
      <alignment horizontal="right" vertical="center"/>
    </xf>
    <xf numFmtId="4" fontId="22" fillId="0" borderId="28" xfId="0" applyNumberFormat="1" applyFont="1" applyFill="1" applyBorder="1" applyAlignment="1">
      <alignment horizontal="center" vertical="center"/>
    </xf>
    <xf numFmtId="0" fontId="23" fillId="0" borderId="29" xfId="1" applyNumberFormat="1" applyFont="1" applyFill="1" applyBorder="1" applyAlignment="1">
      <alignment horizontal="center" vertical="center"/>
    </xf>
    <xf numFmtId="0" fontId="23" fillId="0" borderId="18" xfId="1" applyNumberFormat="1" applyFont="1" applyFill="1" applyBorder="1" applyAlignment="1">
      <alignment horizontal="center" vertical="center"/>
    </xf>
    <xf numFmtId="0" fontId="23" fillId="0" borderId="19" xfId="1" applyNumberFormat="1" applyFont="1" applyFill="1" applyBorder="1" applyAlignment="1">
      <alignment horizontal="center" vertical="center"/>
    </xf>
    <xf numFmtId="0" fontId="23" fillId="0" borderId="23" xfId="1" applyNumberFormat="1" applyFont="1" applyFill="1" applyBorder="1" applyAlignment="1">
      <alignment horizontal="center" vertical="center"/>
    </xf>
    <xf numFmtId="0" fontId="81" fillId="0" borderId="0" xfId="0" applyFont="1" applyFill="1" applyAlignment="1" applyProtection="1">
      <alignment vertical="top"/>
    </xf>
    <xf numFmtId="4" fontId="22" fillId="0" borderId="43" xfId="0" applyNumberFormat="1" applyFont="1" applyBorder="1" applyAlignment="1">
      <alignment horizontal="center"/>
    </xf>
    <xf numFmtId="4" fontId="22" fillId="0" borderId="127" xfId="0" applyNumberFormat="1" applyFont="1" applyBorder="1" applyAlignment="1">
      <alignment horizontal="center"/>
    </xf>
    <xf numFmtId="0" fontId="6" fillId="3"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6" fillId="0" borderId="0" xfId="0" applyFont="1" applyFill="1" applyAlignment="1">
      <alignment horizontal="center" vertical="center"/>
    </xf>
    <xf numFmtId="0" fontId="6" fillId="4" borderId="10"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27" xfId="0" applyFont="1" applyFill="1" applyBorder="1" applyAlignment="1">
      <alignment horizontal="center" vertical="center"/>
    </xf>
    <xf numFmtId="0" fontId="6" fillId="7" borderId="10"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8" fillId="7" borderId="10" xfId="0" applyFont="1" applyFill="1" applyBorder="1" applyAlignment="1">
      <alignment horizontal="center" vertic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27" xfId="0" applyFont="1" applyFill="1" applyBorder="1" applyAlignment="1">
      <alignment horizontal="center" vertical="center"/>
    </xf>
    <xf numFmtId="0" fontId="6" fillId="8" borderId="10"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27" xfId="0" applyFont="1" applyFill="1" applyBorder="1" applyAlignment="1">
      <alignment horizontal="center" vertical="center"/>
    </xf>
    <xf numFmtId="0" fontId="6" fillId="9" borderId="10"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27" xfId="0" applyFont="1" applyFill="1" applyBorder="1" applyAlignment="1">
      <alignment horizontal="center" vertical="center" wrapText="1"/>
    </xf>
    <xf numFmtId="0" fontId="8" fillId="9" borderId="10" xfId="0" applyFont="1" applyFill="1" applyBorder="1" applyAlignment="1">
      <alignment horizontal="center" vertical="center"/>
    </xf>
    <xf numFmtId="0" fontId="8" fillId="9" borderId="27"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27"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23" fillId="0" borderId="114" xfId="0" applyFont="1" applyFill="1" applyBorder="1" applyAlignment="1">
      <alignment horizontal="center" vertical="center" wrapText="1"/>
    </xf>
    <xf numFmtId="0" fontId="23" fillId="0" borderId="115" xfId="0" applyFont="1" applyFill="1" applyBorder="1" applyAlignment="1">
      <alignment horizontal="center" vertical="center" wrapText="1"/>
    </xf>
    <xf numFmtId="0" fontId="22" fillId="11" borderId="20" xfId="0" applyFont="1" applyFill="1" applyBorder="1" applyAlignment="1">
      <alignment horizontal="center" vertical="center" wrapText="1"/>
    </xf>
    <xf numFmtId="0" fontId="22" fillId="11" borderId="22" xfId="0" applyFont="1" applyFill="1" applyBorder="1" applyAlignment="1">
      <alignment horizontal="center" vertical="center" wrapText="1"/>
    </xf>
    <xf numFmtId="0" fontId="22" fillId="0" borderId="38" xfId="0" applyFont="1" applyBorder="1" applyAlignment="1">
      <alignment horizontal="center"/>
    </xf>
    <xf numFmtId="0" fontId="22" fillId="0" borderId="28" xfId="0" applyFont="1" applyBorder="1" applyAlignment="1">
      <alignment horizontal="center"/>
    </xf>
    <xf numFmtId="0" fontId="22" fillId="0" borderId="33" xfId="0" applyFont="1" applyBorder="1" applyAlignment="1">
      <alignment horizontal="center"/>
    </xf>
    <xf numFmtId="0" fontId="22" fillId="0" borderId="7" xfId="0" applyFont="1" applyBorder="1" applyAlignment="1">
      <alignment horizontal="center"/>
    </xf>
    <xf numFmtId="0" fontId="22" fillId="0" borderId="32" xfId="0" applyFont="1" applyBorder="1" applyAlignment="1">
      <alignment horizontal="center"/>
    </xf>
    <xf numFmtId="0" fontId="22" fillId="0" borderId="30" xfId="0" applyFont="1" applyBorder="1" applyAlignment="1">
      <alignment horizontal="center"/>
    </xf>
    <xf numFmtId="0" fontId="22" fillId="11" borderId="24" xfId="0" applyFont="1" applyFill="1" applyBorder="1" applyAlignment="1">
      <alignment horizontal="center" vertical="center" wrapText="1"/>
    </xf>
    <xf numFmtId="0" fontId="22" fillId="11" borderId="42"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43" xfId="0" applyFont="1" applyFill="1" applyBorder="1" applyAlignment="1">
      <alignment horizontal="center" vertical="center" wrapText="1"/>
    </xf>
    <xf numFmtId="168" fontId="22" fillId="0" borderId="38" xfId="0" applyNumberFormat="1" applyFont="1" applyFill="1" applyBorder="1" applyAlignment="1">
      <alignment horizontal="center" vertical="center" wrapText="1"/>
    </xf>
    <xf numFmtId="168" fontId="22" fillId="0" borderId="28" xfId="0" applyNumberFormat="1" applyFont="1" applyFill="1" applyBorder="1" applyAlignment="1">
      <alignment horizontal="center" vertical="center" wrapText="1"/>
    </xf>
    <xf numFmtId="168" fontId="22" fillId="0" borderId="14" xfId="0" applyNumberFormat="1" applyFont="1" applyFill="1" applyBorder="1" applyAlignment="1">
      <alignment horizontal="center" vertical="center" wrapText="1"/>
    </xf>
    <xf numFmtId="168" fontId="22" fillId="0" borderId="15" xfId="0" applyNumberFormat="1"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7" xfId="0" applyFont="1" applyFill="1" applyBorder="1" applyAlignment="1">
      <alignment horizontal="center" vertical="center"/>
    </xf>
    <xf numFmtId="169" fontId="22" fillId="0" borderId="7" xfId="0" applyNumberFormat="1" applyFont="1" applyFill="1" applyBorder="1" applyAlignment="1">
      <alignment horizontal="center" vertical="center" wrapText="1"/>
    </xf>
    <xf numFmtId="169" fontId="22" fillId="0" borderId="34" xfId="0" applyNumberFormat="1" applyFont="1" applyFill="1" applyBorder="1" applyAlignment="1">
      <alignment horizontal="center" vertical="center" wrapText="1"/>
    </xf>
    <xf numFmtId="0" fontId="19" fillId="12" borderId="68" xfId="0" applyFont="1" applyFill="1" applyBorder="1" applyAlignment="1">
      <alignment horizontal="center" vertical="center"/>
    </xf>
    <xf numFmtId="0" fontId="19" fillId="12" borderId="11" xfId="0" applyFont="1" applyFill="1" applyBorder="1" applyAlignment="1">
      <alignment horizontal="center" vertical="center"/>
    </xf>
    <xf numFmtId="168" fontId="22" fillId="0" borderId="40" xfId="0" applyNumberFormat="1" applyFont="1" applyFill="1" applyBorder="1" applyAlignment="1">
      <alignment horizontal="center" vertical="center" wrapText="1"/>
    </xf>
    <xf numFmtId="168" fontId="22" fillId="0" borderId="35" xfId="0" applyNumberFormat="1" applyFont="1" applyFill="1" applyBorder="1" applyAlignment="1">
      <alignment horizontal="center" vertical="center" wrapText="1"/>
    </xf>
    <xf numFmtId="168" fontId="22" fillId="0" borderId="11" xfId="0" applyNumberFormat="1"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106" xfId="0"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30" xfId="0" applyFont="1" applyFill="1" applyBorder="1" applyAlignment="1">
      <alignment horizontal="center" vertical="center"/>
    </xf>
    <xf numFmtId="169" fontId="22" fillId="0" borderId="39" xfId="0" applyNumberFormat="1" applyFont="1" applyFill="1" applyBorder="1" applyAlignment="1">
      <alignment horizontal="center" vertical="center" wrapText="1"/>
    </xf>
    <xf numFmtId="169" fontId="22" fillId="0" borderId="37" xfId="0" applyNumberFormat="1" applyFont="1" applyFill="1" applyBorder="1" applyAlignment="1">
      <alignment horizontal="center" vertical="center" wrapText="1"/>
    </xf>
    <xf numFmtId="169" fontId="22" fillId="0" borderId="41" xfId="0" applyNumberFormat="1" applyFont="1" applyFill="1" applyBorder="1" applyAlignment="1">
      <alignment horizontal="center" vertical="center" wrapText="1"/>
    </xf>
    <xf numFmtId="169" fontId="22" fillId="0" borderId="64" xfId="0" applyNumberFormat="1"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2" fillId="11" borderId="105" xfId="0" applyFont="1" applyFill="1" applyBorder="1" applyAlignment="1">
      <alignment horizontal="center" vertical="center" wrapText="1"/>
    </xf>
    <xf numFmtId="0" fontId="22" fillId="11" borderId="113" xfId="0" applyFont="1" applyFill="1" applyBorder="1" applyAlignment="1">
      <alignment horizontal="center" vertical="center" wrapText="1"/>
    </xf>
    <xf numFmtId="0" fontId="19" fillId="12" borderId="95" xfId="0" applyFont="1" applyFill="1" applyBorder="1" applyAlignment="1">
      <alignment horizontal="center" vertical="center"/>
    </xf>
    <xf numFmtId="0" fontId="19" fillId="12" borderId="0" xfId="0" applyFont="1" applyFill="1" applyBorder="1" applyAlignment="1">
      <alignment horizontal="center" vertical="center"/>
    </xf>
    <xf numFmtId="168" fontId="22" fillId="0" borderId="110" xfId="0" applyNumberFormat="1"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79" fillId="0" borderId="0" xfId="0" applyFont="1" applyFill="1" applyAlignment="1" applyProtection="1">
      <alignment horizontal="left" vertical="center" wrapText="1"/>
    </xf>
    <xf numFmtId="0" fontId="22" fillId="11" borderId="114" xfId="0" applyFont="1" applyFill="1" applyBorder="1" applyAlignment="1">
      <alignment horizontal="center" vertical="center" wrapText="1"/>
    </xf>
    <xf numFmtId="0" fontId="22" fillId="11" borderId="11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22" fillId="11" borderId="116" xfId="0" applyFont="1" applyFill="1" applyBorder="1" applyAlignment="1">
      <alignment horizontal="center" vertical="center" wrapText="1"/>
    </xf>
    <xf numFmtId="0" fontId="22" fillId="0" borderId="42" xfId="0" applyFont="1" applyBorder="1" applyAlignment="1">
      <alignment horizontal="center"/>
    </xf>
    <xf numFmtId="0" fontId="22" fillId="0" borderId="27" xfId="0" applyFont="1" applyBorder="1" applyAlignment="1">
      <alignment horizontal="center"/>
    </xf>
    <xf numFmtId="0" fontId="19" fillId="0" borderId="0" xfId="3" applyFont="1" applyFill="1" applyBorder="1" applyAlignment="1">
      <alignment horizontal="center"/>
    </xf>
    <xf numFmtId="9" fontId="23" fillId="0" borderId="114" xfId="2" applyFont="1" applyFill="1" applyBorder="1" applyAlignment="1">
      <alignment horizontal="center" vertical="center" wrapText="1"/>
    </xf>
    <xf numFmtId="9" fontId="23" fillId="0" borderId="5" xfId="2" applyFont="1" applyFill="1" applyBorder="1" applyAlignment="1">
      <alignment horizontal="center" vertical="center" wrapText="1"/>
    </xf>
    <xf numFmtId="9" fontId="23" fillId="0" borderId="115" xfId="2" applyFont="1" applyFill="1" applyBorder="1" applyAlignment="1">
      <alignment horizontal="center" vertical="center" wrapText="1"/>
    </xf>
    <xf numFmtId="0" fontId="71" fillId="0" borderId="0" xfId="0" applyFont="1" applyFill="1" applyAlignment="1" applyProtection="1">
      <alignment horizontal="center" vertical="center" wrapText="1"/>
      <protection locked="0"/>
    </xf>
    <xf numFmtId="0" fontId="71" fillId="39" borderId="0" xfId="0" applyFont="1" applyFill="1" applyAlignment="1" applyProtection="1">
      <alignment horizontal="center" vertical="center" wrapText="1"/>
      <protection locked="0"/>
    </xf>
    <xf numFmtId="0" fontId="87" fillId="11" borderId="127" xfId="1406" applyFont="1" applyFill="1" applyBorder="1" applyAlignment="1" applyProtection="1">
      <alignment vertical="center" wrapText="1"/>
    </xf>
    <xf numFmtId="0" fontId="71" fillId="11" borderId="127" xfId="1406" applyFont="1" applyFill="1" applyBorder="1" applyAlignment="1" applyProtection="1">
      <alignment vertical="center" wrapText="1"/>
    </xf>
    <xf numFmtId="0" fontId="71" fillId="11" borderId="127" xfId="1406" quotePrefix="1" applyFont="1" applyFill="1" applyBorder="1" applyAlignment="1" applyProtection="1">
      <alignment vertical="center" wrapText="1"/>
    </xf>
    <xf numFmtId="0" fontId="74" fillId="0" borderId="127" xfId="0" applyFont="1" applyBorder="1" applyAlignment="1">
      <alignment horizontal="center" vertical="center"/>
    </xf>
    <xf numFmtId="0" fontId="80" fillId="0" borderId="0" xfId="0" applyFont="1" applyAlignment="1">
      <alignment horizontal="left"/>
    </xf>
    <xf numFmtId="0" fontId="23" fillId="11" borderId="127" xfId="0" applyFont="1" applyFill="1" applyBorder="1" applyAlignment="1" applyProtection="1">
      <alignment horizontal="left" vertical="center" wrapText="1"/>
    </xf>
    <xf numFmtId="14" fontId="23" fillId="0" borderId="118" xfId="0" applyNumberFormat="1" applyFont="1" applyFill="1" applyBorder="1" applyAlignment="1">
      <alignment horizontal="center" vertical="center" wrapText="1"/>
    </xf>
    <xf numFmtId="14" fontId="23" fillId="0" borderId="119" xfId="0" applyNumberFormat="1" applyFont="1" applyFill="1" applyBorder="1" applyAlignment="1">
      <alignment horizontal="center" vertical="center" wrapText="1"/>
    </xf>
    <xf numFmtId="0" fontId="22" fillId="0" borderId="133" xfId="0" applyFont="1" applyFill="1" applyBorder="1" applyAlignment="1">
      <alignment horizontal="center" vertical="center" wrapText="1"/>
    </xf>
    <xf numFmtId="0" fontId="22" fillId="0" borderId="127" xfId="0" applyFont="1" applyFill="1" applyBorder="1" applyAlignment="1">
      <alignment horizontal="center" vertical="center"/>
    </xf>
    <xf numFmtId="169" fontId="22" fillId="0" borderId="127" xfId="0" applyNumberFormat="1" applyFont="1" applyFill="1" applyBorder="1" applyAlignment="1">
      <alignment horizontal="center" vertical="center" wrapText="1"/>
    </xf>
    <xf numFmtId="0" fontId="22" fillId="11" borderId="134" xfId="0" applyFont="1" applyFill="1" applyBorder="1" applyAlignment="1">
      <alignment horizontal="center" vertical="center" wrapText="1"/>
    </xf>
    <xf numFmtId="0" fontId="22" fillId="11" borderId="135" xfId="0" applyFont="1" applyFill="1" applyBorder="1" applyAlignment="1">
      <alignment horizontal="center" vertical="center" wrapText="1"/>
    </xf>
    <xf numFmtId="169" fontId="22" fillId="0" borderId="122" xfId="0" applyNumberFormat="1" applyFont="1" applyFill="1" applyBorder="1" applyAlignment="1">
      <alignment horizontal="center" vertical="center" wrapText="1"/>
    </xf>
    <xf numFmtId="0" fontId="22" fillId="11" borderId="93" xfId="0" applyFont="1" applyFill="1" applyBorder="1" applyAlignment="1">
      <alignment horizontal="center" vertical="center" wrapText="1"/>
    </xf>
    <xf numFmtId="168" fontId="22" fillId="0" borderId="138" xfId="0" applyNumberFormat="1" applyFont="1" applyFill="1" applyBorder="1" applyAlignment="1">
      <alignment horizontal="center" vertical="center" wrapText="1"/>
    </xf>
    <xf numFmtId="168" fontId="22" fillId="0" borderId="129"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24" xfId="0" applyFont="1" applyFill="1" applyBorder="1" applyAlignment="1">
      <alignment horizontal="center" vertical="center"/>
    </xf>
    <xf numFmtId="0" fontId="22" fillId="0" borderId="16" xfId="0" applyFont="1" applyFill="1" applyBorder="1" applyAlignment="1">
      <alignment horizontal="center" vertical="center"/>
    </xf>
    <xf numFmtId="169" fontId="22" fillId="0" borderId="38" xfId="0" applyNumberFormat="1" applyFont="1" applyFill="1" applyBorder="1" applyAlignment="1">
      <alignment horizontal="center" vertical="center" wrapText="1"/>
    </xf>
    <xf numFmtId="169" fontId="22" fillId="0" borderId="133" xfId="0" applyNumberFormat="1" applyFont="1" applyFill="1" applyBorder="1" applyAlignment="1">
      <alignment horizontal="center" vertical="center" wrapText="1"/>
    </xf>
    <xf numFmtId="169" fontId="22" fillId="0" borderId="28" xfId="0" applyNumberFormat="1" applyFont="1" applyFill="1" applyBorder="1" applyAlignment="1">
      <alignment horizontal="center" vertical="center" wrapText="1"/>
    </xf>
    <xf numFmtId="14" fontId="23" fillId="0" borderId="29" xfId="0" applyNumberFormat="1" applyFont="1" applyFill="1" applyBorder="1" applyAlignment="1">
      <alignment horizontal="center" vertical="center" wrapText="1"/>
    </xf>
    <xf numFmtId="14" fontId="23" fillId="0" borderId="122" xfId="0" applyNumberFormat="1" applyFont="1" applyFill="1" applyBorder="1" applyAlignment="1">
      <alignment horizontal="center" vertical="center" wrapText="1"/>
    </xf>
    <xf numFmtId="0" fontId="22" fillId="0" borderId="41" xfId="0" applyFont="1" applyFill="1" applyBorder="1" applyAlignment="1">
      <alignment horizontal="center" vertical="center"/>
    </xf>
    <xf numFmtId="0" fontId="22" fillId="0" borderId="139" xfId="0" applyFont="1" applyFill="1" applyBorder="1" applyAlignment="1">
      <alignment horizontal="center" vertical="center"/>
    </xf>
    <xf numFmtId="168" fontId="22" fillId="0" borderId="124" xfId="0" applyNumberFormat="1" applyFont="1" applyFill="1" applyBorder="1" applyAlignment="1">
      <alignment horizontal="center" vertical="center" wrapText="1"/>
    </xf>
    <xf numFmtId="168" fontId="22" fillId="0" borderId="140" xfId="0" applyNumberFormat="1" applyFont="1" applyFill="1" applyBorder="1" applyAlignment="1">
      <alignment horizontal="center" vertical="center" wrapText="1"/>
    </xf>
    <xf numFmtId="168" fontId="22" fillId="0" borderId="117" xfId="0" applyNumberFormat="1" applyFont="1" applyFill="1" applyBorder="1" applyAlignment="1">
      <alignment horizontal="center" vertical="center" wrapText="1"/>
    </xf>
    <xf numFmtId="0" fontId="22" fillId="0" borderId="32" xfId="0" applyFont="1" applyFill="1" applyBorder="1" applyAlignment="1">
      <alignment horizontal="center" vertical="center" wrapText="1"/>
    </xf>
    <xf numFmtId="0" fontId="86" fillId="0" borderId="0" xfId="0" applyFont="1" applyFill="1" applyAlignment="1" applyProtection="1">
      <alignment horizontal="left" vertical="center" wrapText="1"/>
    </xf>
    <xf numFmtId="0" fontId="22" fillId="0" borderId="131" xfId="0" applyFont="1" applyFill="1" applyBorder="1" applyAlignment="1">
      <alignment horizontal="center" vertical="center"/>
    </xf>
    <xf numFmtId="169" fontId="22" fillId="0" borderId="137" xfId="0" applyNumberFormat="1" applyFont="1" applyFill="1" applyBorder="1" applyAlignment="1">
      <alignment horizontal="center" vertical="center" wrapText="1"/>
    </xf>
    <xf numFmtId="0" fontId="22" fillId="11" borderId="98" xfId="0" applyFont="1" applyFill="1" applyBorder="1" applyAlignment="1">
      <alignment horizontal="center" vertical="center" wrapText="1"/>
    </xf>
    <xf numFmtId="0" fontId="55" fillId="0" borderId="95" xfId="3" applyFont="1" applyFill="1" applyBorder="1" applyAlignment="1">
      <alignment horizontal="center"/>
    </xf>
    <xf numFmtId="0" fontId="55" fillId="0" borderId="0" xfId="3" applyFont="1" applyFill="1" applyBorder="1" applyAlignment="1">
      <alignment horizontal="center"/>
    </xf>
    <xf numFmtId="168" fontId="22" fillId="0" borderId="2" xfId="0" applyNumberFormat="1" applyFont="1" applyFill="1" applyBorder="1" applyAlignment="1">
      <alignment horizontal="center" vertical="center" wrapText="1"/>
    </xf>
    <xf numFmtId="169" fontId="22" fillId="0" borderId="29" xfId="0" applyNumberFormat="1" applyFont="1" applyFill="1" applyBorder="1" applyAlignment="1">
      <alignment horizontal="center" vertical="center" wrapText="1"/>
    </xf>
    <xf numFmtId="169" fontId="22" fillId="0" borderId="123" xfId="0" applyNumberFormat="1" applyFont="1" applyFill="1" applyBorder="1" applyAlignment="1">
      <alignment horizontal="center" vertical="center" wrapText="1"/>
    </xf>
    <xf numFmtId="14" fontId="23" fillId="0" borderId="12" xfId="0" applyNumberFormat="1" applyFont="1" applyFill="1" applyBorder="1" applyAlignment="1">
      <alignment horizontal="center" vertical="center" wrapText="1"/>
    </xf>
    <xf numFmtId="14" fontId="23" fillId="0" borderId="87" xfId="0" applyNumberFormat="1" applyFont="1" applyFill="1" applyBorder="1" applyAlignment="1">
      <alignment horizontal="center" vertical="center" wrapText="1"/>
    </xf>
    <xf numFmtId="0" fontId="19" fillId="12" borderId="97" xfId="0" applyFont="1" applyFill="1" applyBorder="1" applyAlignment="1">
      <alignment horizontal="center" vertical="center"/>
    </xf>
  </cellXfs>
  <cellStyles count="1407">
    <cellStyle name="_2-1-3,2-1-4" xfId="55"/>
    <cellStyle name="_29дог апрель" xfId="56"/>
    <cellStyle name="_Cpq request'00" xfId="57"/>
    <cellStyle name="_Cpq Srv-ML" xfId="58"/>
    <cellStyle name="_Cpq Srv-ML-SQL" xfId="59"/>
    <cellStyle name="_Crystal Report" xfId="60"/>
    <cellStyle name="_PC-12.00" xfId="61"/>
    <cellStyle name="_Prnt, etc" xfId="62"/>
    <cellStyle name="_Srv Cpq-1" xfId="63"/>
    <cellStyle name="_Выполнение плановое за май  2007  ПС Чистинная ОАО ЭЗСМ" xfId="64"/>
    <cellStyle name="_Кластер СГРЭС-2 (спецификация оборудования)" xfId="65"/>
    <cellStyle name="_Книга2" xfId="66"/>
    <cellStyle name="_Куст 24.Выполнение" xfId="67"/>
    <cellStyle name="_Куст 24.Выполнение июль" xfId="68"/>
    <cellStyle name="_Оборудование Кластер СГРЭС-2" xfId="69"/>
    <cellStyle name="_Перебазировка Шлейф.заход" xfId="70"/>
    <cellStyle name="_Учет газа СГРЭС-2 (спецификация оборудования)" xfId="71"/>
    <cellStyle name="_Чистинное за МАЙ 2007г" xfId="72"/>
    <cellStyle name="”€ќђќ‘ћ‚›‰" xfId="73"/>
    <cellStyle name="”€љ‘€ђћ‚ђќќ›‰" xfId="74"/>
    <cellStyle name="„…ќ…†ќ›‰" xfId="75"/>
    <cellStyle name="€’ћѓћ‚›‰" xfId="76"/>
    <cellStyle name="‡ђѓћ‹ћ‚ћљ1" xfId="77"/>
    <cellStyle name="‡ђѓћ‹ћ‚ћљ2" xfId="78"/>
    <cellStyle name="20% - Accent1" xfId="6"/>
    <cellStyle name="20% - Accent2" xfId="7"/>
    <cellStyle name="20% - Accent3" xfId="8"/>
    <cellStyle name="20% - Accent4" xfId="9"/>
    <cellStyle name="20% - Accent5" xfId="10"/>
    <cellStyle name="20% - Accent6" xfId="11"/>
    <cellStyle name="20% - Акцент1 2" xfId="79"/>
    <cellStyle name="20% - Акцент2 2" xfId="80"/>
    <cellStyle name="20% - Акцент3 2" xfId="81"/>
    <cellStyle name="20% - Акцент4 2" xfId="82"/>
    <cellStyle name="20% - Акцент5 2" xfId="83"/>
    <cellStyle name="20% - Акцент6 2" xfId="84"/>
    <cellStyle name="40% - Accent1" xfId="12"/>
    <cellStyle name="40% - Accent2" xfId="13"/>
    <cellStyle name="40% - Accent3" xfId="14"/>
    <cellStyle name="40% - Accent4" xfId="15"/>
    <cellStyle name="40% - Accent5" xfId="16"/>
    <cellStyle name="40% - Accent6" xfId="17"/>
    <cellStyle name="40% - Акцент1 2" xfId="85"/>
    <cellStyle name="40% - Акцент2 2" xfId="86"/>
    <cellStyle name="40% - Акцент3 2" xfId="87"/>
    <cellStyle name="40% - Акцент4 2" xfId="88"/>
    <cellStyle name="40% - Акцент5 2" xfId="89"/>
    <cellStyle name="40% - Акцент6 2" xfId="90"/>
    <cellStyle name="60% - Accent1" xfId="18"/>
    <cellStyle name="60% - Accent2" xfId="19"/>
    <cellStyle name="60% - Accent3" xfId="20"/>
    <cellStyle name="60% - Accent4" xfId="21"/>
    <cellStyle name="60% - Accent5" xfId="22"/>
    <cellStyle name="60% - Accent6" xfId="23"/>
    <cellStyle name="60% - Акцент1 2" xfId="91"/>
    <cellStyle name="60% - Акцент2 2" xfId="92"/>
    <cellStyle name="60% - Акцент3 2" xfId="93"/>
    <cellStyle name="60% - Акцент4 2" xfId="94"/>
    <cellStyle name="60% - Акцент5 2" xfId="95"/>
    <cellStyle name="60% - Акцент6 2" xfId="96"/>
    <cellStyle name="Accent1" xfId="24"/>
    <cellStyle name="Accent2" xfId="25"/>
    <cellStyle name="Accent3" xfId="26"/>
    <cellStyle name="Accent4" xfId="27"/>
    <cellStyle name="Accent5" xfId="28"/>
    <cellStyle name="Accent6" xfId="29"/>
    <cellStyle name="Bad" xfId="30"/>
    <cellStyle name="Calculation" xfId="31"/>
    <cellStyle name="Calculation 2" xfId="864"/>
    <cellStyle name="Calculation 2 2" xfId="1199"/>
    <cellStyle name="Calculation 2 2 2" xfId="1376"/>
    <cellStyle name="Calculation 2 3" xfId="1036"/>
    <cellStyle name="Calculation 2 3 2" xfId="1315"/>
    <cellStyle name="Calculation 2 4" xfId="974"/>
    <cellStyle name="Calculation 2 5" xfId="1284"/>
    <cellStyle name="Calculation 3" xfId="1088"/>
    <cellStyle name="Calculation 3 2" xfId="1333"/>
    <cellStyle name="Calculation 4" xfId="899"/>
    <cellStyle name="Calculation 5" xfId="934"/>
    <cellStyle name="Check Cell" xfId="32"/>
    <cellStyle name="Code" xfId="97"/>
    <cellStyle name="Comma [0]" xfId="98"/>
    <cellStyle name="Comma_400тыс$" xfId="99"/>
    <cellStyle name="Currency [0]" xfId="100"/>
    <cellStyle name="Currency_400тыс$" xfId="101"/>
    <cellStyle name="Description" xfId="102"/>
    <cellStyle name="Explanatory Text" xfId="33"/>
    <cellStyle name="Good" xfId="34"/>
    <cellStyle name="Group1" xfId="103"/>
    <cellStyle name="Group2" xfId="104"/>
    <cellStyle name="Heading 1" xfId="35"/>
    <cellStyle name="Heading 2" xfId="36"/>
    <cellStyle name="Heading 3" xfId="37"/>
    <cellStyle name="Heading 3 2" xfId="1018"/>
    <cellStyle name="Heading 3 2 2" xfId="1312"/>
    <cellStyle name="Heading 3 3" xfId="1136"/>
    <cellStyle name="Heading 3 3 2" xfId="1337"/>
    <cellStyle name="Heading 3 4" xfId="933"/>
    <cellStyle name="Heading 4" xfId="38"/>
    <cellStyle name="Headline I" xfId="105"/>
    <cellStyle name="Headline II" xfId="106"/>
    <cellStyle name="Headline III" xfId="107"/>
    <cellStyle name="Input" xfId="39"/>
    <cellStyle name="Input 2" xfId="863"/>
    <cellStyle name="Input 2 2" xfId="1198"/>
    <cellStyle name="Input 2 2 2" xfId="1375"/>
    <cellStyle name="Input 2 3" xfId="1005"/>
    <cellStyle name="Input 2 3 2" xfId="1310"/>
    <cellStyle name="Input 2 4" xfId="973"/>
    <cellStyle name="Input 2 5" xfId="1283"/>
    <cellStyle name="Input 3" xfId="1086"/>
    <cellStyle name="Input 3 2" xfId="1332"/>
    <cellStyle name="Input 4" xfId="900"/>
    <cellStyle name="Input 5" xfId="932"/>
    <cellStyle name="Linked Cell" xfId="40"/>
    <cellStyle name="Milliers [0]_Conversion Summary" xfId="108"/>
    <cellStyle name="Milliers_Conversion Summary" xfId="109"/>
    <cellStyle name="Monйtaire [0]_Conversion Summary" xfId="110"/>
    <cellStyle name="Monйtaire_Conversion Summary" xfId="111"/>
    <cellStyle name="Neutral" xfId="41"/>
    <cellStyle name="Normal_400тыс$" xfId="112"/>
    <cellStyle name="normбlnм_laroux" xfId="113"/>
    <cellStyle name="Note" xfId="42"/>
    <cellStyle name="Note 2" xfId="862"/>
    <cellStyle name="Note 2 2" xfId="1197"/>
    <cellStyle name="Note 2 2 2" xfId="1374"/>
    <cellStyle name="Note 2 3" xfId="1006"/>
    <cellStyle name="Note 2 3 2" xfId="1311"/>
    <cellStyle name="Note 2 4" xfId="972"/>
    <cellStyle name="Note 2 5" xfId="1282"/>
    <cellStyle name="Note 3" xfId="1085"/>
    <cellStyle name="Note 3 2" xfId="1331"/>
    <cellStyle name="Note 4" xfId="1092"/>
    <cellStyle name="Note 4 2" xfId="1335"/>
    <cellStyle name="Note 5" xfId="901"/>
    <cellStyle name="Note 6" xfId="931"/>
    <cellStyle name="Option" xfId="114"/>
    <cellStyle name="Output" xfId="43"/>
    <cellStyle name="Output 2" xfId="893"/>
    <cellStyle name="Output 2 2" xfId="1223"/>
    <cellStyle name="Output 2 2 2" xfId="1398"/>
    <cellStyle name="Output 2 3" xfId="1242"/>
    <cellStyle name="Output 2 3 2" xfId="1402"/>
    <cellStyle name="Output 2 4" xfId="997"/>
    <cellStyle name="Output 2 5" xfId="1306"/>
    <cellStyle name="Output 3" xfId="1084"/>
    <cellStyle name="Output 3 2" xfId="1330"/>
    <cellStyle name="Output 4" xfId="1091"/>
    <cellStyle name="Output 4 2" xfId="1334"/>
    <cellStyle name="Output 5" xfId="902"/>
    <cellStyle name="Output 6" xfId="930"/>
    <cellStyle name="Price" xfId="115"/>
    <cellStyle name="Product" xfId="116"/>
    <cellStyle name="Qty_SYSTEM" xfId="117"/>
    <cellStyle name="Rubles" xfId="118"/>
    <cellStyle name="Title" xfId="44"/>
    <cellStyle name="Total" xfId="45"/>
    <cellStyle name="Total 2" xfId="894"/>
    <cellStyle name="Total 2 2" xfId="1224"/>
    <cellStyle name="Total 2 2 2" xfId="1399"/>
    <cellStyle name="Total 2 3" xfId="1243"/>
    <cellStyle name="Total 2 3 2" xfId="1403"/>
    <cellStyle name="Total 2 4" xfId="998"/>
    <cellStyle name="Total 2 5" xfId="1307"/>
    <cellStyle name="Total 3" xfId="1083"/>
    <cellStyle name="Total 3 2" xfId="1329"/>
    <cellStyle name="Total 4" xfId="1075"/>
    <cellStyle name="Total 4 2" xfId="1327"/>
    <cellStyle name="Total 5" xfId="903"/>
    <cellStyle name="Total 6" xfId="905"/>
    <cellStyle name="Unit" xfId="119"/>
    <cellStyle name="Warning Text" xfId="46"/>
    <cellStyle name="Акт" xfId="120"/>
    <cellStyle name="Акт 2" xfId="121"/>
    <cellStyle name="Акт 2 2" xfId="827"/>
    <cellStyle name="Акт 2 2 2" xfId="1100"/>
    <cellStyle name="Акт 2 2 3" xfId="1162"/>
    <cellStyle name="Акт 2 2 3 2" xfId="1339"/>
    <cellStyle name="Акт 2 2 4" xfId="1033"/>
    <cellStyle name="Акт 2 2 5" xfId="937"/>
    <cellStyle name="Акт 2 2 6" xfId="1247"/>
    <cellStyle name="Акт 2 3" xfId="848"/>
    <cellStyle name="Акт 2 3 2" xfId="1119"/>
    <cellStyle name="Акт 2 3 3" xfId="1183"/>
    <cellStyle name="Акт 2 3 3 2" xfId="1360"/>
    <cellStyle name="Акт 2 3 4" xfId="1025"/>
    <cellStyle name="Акт 2 3 5" xfId="958"/>
    <cellStyle name="Акт 2 3 6" xfId="1268"/>
    <cellStyle name="Акт 2 4" xfId="1046"/>
    <cellStyle name="Акт 2 5" xfId="1066"/>
    <cellStyle name="Акт 2 6" xfId="1048"/>
    <cellStyle name="Акт 2 7" xfId="908"/>
    <cellStyle name="Акт 3" xfId="826"/>
    <cellStyle name="Акт 3 2" xfId="1099"/>
    <cellStyle name="Акт 3 3" xfId="1161"/>
    <cellStyle name="Акт 3 3 2" xfId="1338"/>
    <cellStyle name="Акт 3 4" xfId="1034"/>
    <cellStyle name="Акт 3 5" xfId="936"/>
    <cellStyle name="Акт 3 6" xfId="1246"/>
    <cellStyle name="Акт 4" xfId="849"/>
    <cellStyle name="Акт 4 2" xfId="1120"/>
    <cellStyle name="Акт 4 3" xfId="1184"/>
    <cellStyle name="Акт 4 3 2" xfId="1361"/>
    <cellStyle name="Акт 4 4" xfId="1024"/>
    <cellStyle name="Акт 4 5" xfId="959"/>
    <cellStyle name="Акт 4 6" xfId="1269"/>
    <cellStyle name="Акт 5" xfId="1045"/>
    <cellStyle name="Акт 6" xfId="1067"/>
    <cellStyle name="Акт 7" xfId="1047"/>
    <cellStyle name="Акт 8" xfId="907"/>
    <cellStyle name="Акт_Образцы КС-3 Акт осмотра, справка, ведомость,акт" xfId="122"/>
    <cellStyle name="АктМТСН" xfId="123"/>
    <cellStyle name="Акцент1 2" xfId="124"/>
    <cellStyle name="Акцент2 2" xfId="125"/>
    <cellStyle name="Акцент3 2" xfId="126"/>
    <cellStyle name="Акцент4 2" xfId="127"/>
    <cellStyle name="Акцент5 2" xfId="128"/>
    <cellStyle name="Акцент6 2" xfId="129"/>
    <cellStyle name="Ввод  2" xfId="130"/>
    <cellStyle name="Ввод  2 2" xfId="847"/>
    <cellStyle name="Ввод  2 2 2" xfId="1182"/>
    <cellStyle name="Ввод  2 2 2 2" xfId="1359"/>
    <cellStyle name="Ввод  2 2 3" xfId="1026"/>
    <cellStyle name="Ввод  2 2 3 2" xfId="1313"/>
    <cellStyle name="Ввод  2 2 4" xfId="957"/>
    <cellStyle name="Ввод  2 2 5" xfId="1267"/>
    <cellStyle name="Ввод  2 3" xfId="1065"/>
    <cellStyle name="Ввод  2 3 2" xfId="1322"/>
    <cellStyle name="Ввод  2 4" xfId="909"/>
    <cellStyle name="Ввод  2 5" xfId="921"/>
    <cellStyle name="ВедРесурсов" xfId="131"/>
    <cellStyle name="ВедРесурсов 2" xfId="132"/>
    <cellStyle name="ВедРесурсов 2 2" xfId="829"/>
    <cellStyle name="ВедРесурсов 2 2 2" xfId="840"/>
    <cellStyle name="ВедРесурсов 2 2 2 2" xfId="874"/>
    <cellStyle name="ВедРесурсов 2 2 2 2 2" xfId="1140"/>
    <cellStyle name="ВедРесурсов 2 2 2 2 3" xfId="1205"/>
    <cellStyle name="ВедРесурсов 2 2 2 2 3 2" xfId="1380"/>
    <cellStyle name="ВедРесурсов 2 2 2 2 4" xfId="1002"/>
    <cellStyle name="ВедРесурсов 2 2 2 2 5" xfId="979"/>
    <cellStyle name="ВедРесурсов 2 2 2 2 6" xfId="1288"/>
    <cellStyle name="ВедРесурсов 2 2 2 3" xfId="1113"/>
    <cellStyle name="ВедРесурсов 2 2 2 4" xfId="1175"/>
    <cellStyle name="ВедРесурсов 2 2 2 4 2" xfId="1352"/>
    <cellStyle name="ВедРесурсов 2 2 2 5" xfId="1027"/>
    <cellStyle name="ВедРесурсов 2 2 2 6" xfId="950"/>
    <cellStyle name="ВедРесурсов 2 2 2 7" xfId="1260"/>
    <cellStyle name="ВедРесурсов 2 2 3" xfId="1102"/>
    <cellStyle name="ВедРесурсов 2 2 4" xfId="1164"/>
    <cellStyle name="ВедРесурсов 2 2 4 2" xfId="1341"/>
    <cellStyle name="ВедРесурсов 2 2 5" xfId="1133"/>
    <cellStyle name="ВедРесурсов 2 2 6" xfId="939"/>
    <cellStyle name="ВедРесурсов 2 2 7" xfId="1249"/>
    <cellStyle name="ВедРесурсов 2 3" xfId="839"/>
    <cellStyle name="ВедРесурсов 2 3 2" xfId="873"/>
    <cellStyle name="ВедРесурсов 2 3 2 2" xfId="1139"/>
    <cellStyle name="ВедРесурсов 2 3 2 3" xfId="1204"/>
    <cellStyle name="ВедРесурсов 2 3 2 3 2" xfId="1379"/>
    <cellStyle name="ВедРесурсов 2 3 2 4" xfId="1003"/>
    <cellStyle name="ВедРесурсов 2 3 2 5" xfId="978"/>
    <cellStyle name="ВедРесурсов 2 3 2 6" xfId="1287"/>
    <cellStyle name="ВедРесурсов 2 3 3" xfId="1112"/>
    <cellStyle name="ВедРесурсов 2 3 4" xfId="1174"/>
    <cellStyle name="ВедРесурсов 2 3 4 2" xfId="1351"/>
    <cellStyle name="ВедРесурсов 2 3 5" xfId="1028"/>
    <cellStyle name="ВедРесурсов 2 3 6" xfId="949"/>
    <cellStyle name="ВедРесурсов 2 3 7" xfId="1259"/>
    <cellStyle name="ВедРесурсов 2 4" xfId="1050"/>
    <cellStyle name="ВедРесурсов 2 5" xfId="1063"/>
    <cellStyle name="ВедРесурсов 2 6" xfId="1096"/>
    <cellStyle name="ВедРесурсов 2 7" xfId="911"/>
    <cellStyle name="ВедРесурсов 3" xfId="828"/>
    <cellStyle name="ВедРесурсов 3 2" xfId="841"/>
    <cellStyle name="ВедРесурсов 3 2 2" xfId="875"/>
    <cellStyle name="ВедРесурсов 3 2 2 2" xfId="1141"/>
    <cellStyle name="ВедРесурсов 3 2 2 3" xfId="1206"/>
    <cellStyle name="ВедРесурсов 3 2 2 3 2" xfId="1381"/>
    <cellStyle name="ВедРесурсов 3 2 2 4" xfId="1200"/>
    <cellStyle name="ВедРесурсов 3 2 2 5" xfId="980"/>
    <cellStyle name="ВедРесурсов 3 2 2 6" xfId="1289"/>
    <cellStyle name="ВедРесурсов 3 2 3" xfId="1114"/>
    <cellStyle name="ВедРесурсов 3 2 4" xfId="1176"/>
    <cellStyle name="ВедРесурсов 3 2 4 2" xfId="1353"/>
    <cellStyle name="ВедРесурсов 3 2 5" xfId="1093"/>
    <cellStyle name="ВедРесурсов 3 2 6" xfId="951"/>
    <cellStyle name="ВедРесурсов 3 2 7" xfId="1261"/>
    <cellStyle name="ВедРесурсов 3 3" xfId="1101"/>
    <cellStyle name="ВедРесурсов 3 4" xfId="1163"/>
    <cellStyle name="ВедРесурсов 3 4 2" xfId="1340"/>
    <cellStyle name="ВедРесурсов 3 5" xfId="1032"/>
    <cellStyle name="ВедРесурсов 3 6" xfId="938"/>
    <cellStyle name="ВедРесурсов 3 7" xfId="1248"/>
    <cellStyle name="ВедРесурсов 4" xfId="838"/>
    <cellStyle name="ВедРесурсов 4 2" xfId="872"/>
    <cellStyle name="ВедРесурсов 4 2 2" xfId="1138"/>
    <cellStyle name="ВедРесурсов 4 2 3" xfId="1203"/>
    <cellStyle name="ВедРесурсов 4 2 3 2" xfId="1378"/>
    <cellStyle name="ВедРесурсов 4 2 4" xfId="1004"/>
    <cellStyle name="ВедРесурсов 4 2 5" xfId="977"/>
    <cellStyle name="ВедРесурсов 4 2 6" xfId="1286"/>
    <cellStyle name="ВедРесурсов 4 3" xfId="1111"/>
    <cellStyle name="ВедРесурсов 4 4" xfId="1173"/>
    <cellStyle name="ВедРесурсов 4 4 2" xfId="1350"/>
    <cellStyle name="ВедРесурсов 4 5" xfId="1029"/>
    <cellStyle name="ВедРесурсов 4 6" xfId="948"/>
    <cellStyle name="ВедРесурсов 4 7" xfId="1258"/>
    <cellStyle name="ВедРесурсов 5" xfId="1049"/>
    <cellStyle name="ВедРесурсов 6" xfId="1064"/>
    <cellStyle name="ВедРесурсов 7" xfId="1051"/>
    <cellStyle name="ВедРесурсов 8" xfId="910"/>
    <cellStyle name="ВедРесурсов_Образцы КС-3 Акт осмотра, справка, ведомость,акт" xfId="133"/>
    <cellStyle name="ВедРесурсовАкт" xfId="134"/>
    <cellStyle name="Вывод 2" xfId="135"/>
    <cellStyle name="Вывод 2 2" xfId="895"/>
    <cellStyle name="Вывод 2 2 2" xfId="1225"/>
    <cellStyle name="Вывод 2 2 2 2" xfId="1400"/>
    <cellStyle name="Вывод 2 2 3" xfId="1244"/>
    <cellStyle name="Вывод 2 2 3 2" xfId="1404"/>
    <cellStyle name="Вывод 2 2 4" xfId="999"/>
    <cellStyle name="Вывод 2 2 5" xfId="1308"/>
    <cellStyle name="Вывод 2 3" xfId="1062"/>
    <cellStyle name="Вывод 2 3 2" xfId="1321"/>
    <cellStyle name="Вывод 2 4" xfId="1070"/>
    <cellStyle name="Вывод 2 4 2" xfId="1325"/>
    <cellStyle name="Вывод 2 5" xfId="912"/>
    <cellStyle name="Вывод 2 6" xfId="920"/>
    <cellStyle name="Вычисление 2" xfId="136"/>
    <cellStyle name="Вычисление 2 2" xfId="846"/>
    <cellStyle name="Вычисление 2 2 2" xfId="1181"/>
    <cellStyle name="Вычисление 2 2 2 2" xfId="1358"/>
    <cellStyle name="Вычисление 2 2 3" xfId="1095"/>
    <cellStyle name="Вычисление 2 2 3 2" xfId="1336"/>
    <cellStyle name="Вычисление 2 2 4" xfId="956"/>
    <cellStyle name="Вычисление 2 2 5" xfId="1266"/>
    <cellStyle name="Вычисление 2 3" xfId="1061"/>
    <cellStyle name="Вычисление 2 3 2" xfId="1320"/>
    <cellStyle name="Вычисление 2 4" xfId="913"/>
    <cellStyle name="Вычисление 2 5" xfId="919"/>
    <cellStyle name="Гиперссылка 2" xfId="137"/>
    <cellStyle name="Гиперссылка 3" xfId="822"/>
    <cellStyle name="Граница" xfId="47"/>
    <cellStyle name="Граница 2" xfId="1082"/>
    <cellStyle name="Граница 2 2" xfId="1328"/>
    <cellStyle name="Граница 3" xfId="1072"/>
    <cellStyle name="Граница 3 2" xfId="1326"/>
    <cellStyle name="Граница 4" xfId="904"/>
    <cellStyle name="Граница 5" xfId="929"/>
    <cellStyle name="Дата" xfId="138"/>
    <cellStyle name="Денежный" xfId="1" builtinId="4"/>
    <cellStyle name="Денежный 2" xfId="824"/>
    <cellStyle name="Денежный 2 2" xfId="1098"/>
    <cellStyle name="Денежный 2 3" xfId="935"/>
    <cellStyle name="Денежный 3" xfId="865"/>
    <cellStyle name="Денежный 3 2" xfId="1134"/>
    <cellStyle name="Денежный 3 3" xfId="975"/>
    <cellStyle name="Денежный 4" xfId="1001"/>
    <cellStyle name="Денежный 5" xfId="898"/>
    <cellStyle name="Заг." xfId="139"/>
    <cellStyle name="Заголовок 1 2" xfId="140"/>
    <cellStyle name="Заголовок 2 2" xfId="141"/>
    <cellStyle name="Заголовок 3 2" xfId="142"/>
    <cellStyle name="Заголовок 3 2 2" xfId="1053"/>
    <cellStyle name="Заголовок 3 2 2 2" xfId="1318"/>
    <cellStyle name="Заголовок 3 2 3" xfId="1069"/>
    <cellStyle name="Заголовок 3 2 3 2" xfId="1324"/>
    <cellStyle name="Заголовок 3 2 4" xfId="918"/>
    <cellStyle name="Заголовок 4 2" xfId="143"/>
    <cellStyle name="Индексы" xfId="144"/>
    <cellStyle name="Итог 2" xfId="145"/>
    <cellStyle name="Итог 2 2" xfId="896"/>
    <cellStyle name="Итог 2 2 2" xfId="1226"/>
    <cellStyle name="Итог 2 2 2 2" xfId="1401"/>
    <cellStyle name="Итог 2 2 3" xfId="1245"/>
    <cellStyle name="Итог 2 2 3 2" xfId="1405"/>
    <cellStyle name="Итог 2 2 4" xfId="1000"/>
    <cellStyle name="Итог 2 2 5" xfId="1309"/>
    <cellStyle name="Итог 2 3" xfId="1060"/>
    <cellStyle name="Итог 2 3 2" xfId="1319"/>
    <cellStyle name="Итог 2 4" xfId="1068"/>
    <cellStyle name="Итог 2 4 2" xfId="1323"/>
    <cellStyle name="Итог 2 5" xfId="914"/>
    <cellStyle name="Итог 2 6" xfId="917"/>
    <cellStyle name="Итоги" xfId="146"/>
    <cellStyle name="ИтогоАктБазЦ" xfId="147"/>
    <cellStyle name="ИтогоАктБИМ" xfId="148"/>
    <cellStyle name="ИтогоАктРесМет" xfId="149"/>
    <cellStyle name="ИтогоБазЦ" xfId="150"/>
    <cellStyle name="ИтогоБИМ" xfId="151"/>
    <cellStyle name="ИтогоРесМет" xfId="152"/>
    <cellStyle name="Контрольная ячейка 2" xfId="153"/>
    <cellStyle name="ЛокСмета" xfId="154"/>
    <cellStyle name="ЛокСмета 2" xfId="155"/>
    <cellStyle name="ЛокСмета 2 2" xfId="831"/>
    <cellStyle name="ЛокСмета 2 2 2" xfId="844"/>
    <cellStyle name="ЛокСмета 2 2 2 2" xfId="878"/>
    <cellStyle name="ЛокСмета 2 2 2 2 2" xfId="1144"/>
    <cellStyle name="ЛокСмета 2 2 2 2 3" xfId="1209"/>
    <cellStyle name="ЛокСмета 2 2 2 2 3 2" xfId="1384"/>
    <cellStyle name="ЛокСмета 2 2 2 2 4" xfId="1228"/>
    <cellStyle name="ЛокСмета 2 2 2 2 5" xfId="983"/>
    <cellStyle name="ЛокСмета 2 2 2 2 6" xfId="1292"/>
    <cellStyle name="ЛокСмета 2 2 2 3" xfId="1117"/>
    <cellStyle name="ЛокСмета 2 2 2 4" xfId="1179"/>
    <cellStyle name="ЛокСмета 2 2 2 4 2" xfId="1356"/>
    <cellStyle name="ЛокСмета 2 2 2 5" xfId="1015"/>
    <cellStyle name="ЛокСмета 2 2 2 6" xfId="954"/>
    <cellStyle name="ЛокСмета 2 2 2 7" xfId="1264"/>
    <cellStyle name="ЛокСмета 2 2 3" xfId="1104"/>
    <cellStyle name="ЛокСмета 2 2 4" xfId="1166"/>
    <cellStyle name="ЛокСмета 2 2 4 2" xfId="1343"/>
    <cellStyle name="ЛокСмета 2 2 5" xfId="1044"/>
    <cellStyle name="ЛокСмета 2 2 6" xfId="941"/>
    <cellStyle name="ЛокСмета 2 2 7" xfId="1251"/>
    <cellStyle name="ЛокСмета 2 3" xfId="843"/>
    <cellStyle name="ЛокСмета 2 3 2" xfId="877"/>
    <cellStyle name="ЛокСмета 2 3 2 2" xfId="1143"/>
    <cellStyle name="ЛокСмета 2 3 2 3" xfId="1208"/>
    <cellStyle name="ЛокСмета 2 3 2 3 2" xfId="1383"/>
    <cellStyle name="ЛокСмета 2 3 2 4" xfId="1227"/>
    <cellStyle name="ЛокСмета 2 3 2 5" xfId="982"/>
    <cellStyle name="ЛокСмета 2 3 2 6" xfId="1291"/>
    <cellStyle name="ЛокСмета 2 3 3" xfId="1116"/>
    <cellStyle name="ЛокСмета 2 3 4" xfId="1178"/>
    <cellStyle name="ЛокСмета 2 3 4 2" xfId="1355"/>
    <cellStyle name="ЛокСмета 2 3 5" xfId="1017"/>
    <cellStyle name="ЛокСмета 2 3 6" xfId="953"/>
    <cellStyle name="ЛокСмета 2 3 7" xfId="1263"/>
    <cellStyle name="ЛокСмета 2 4" xfId="1055"/>
    <cellStyle name="ЛокСмета 2 5" xfId="1058"/>
    <cellStyle name="ЛокСмета 2 6" xfId="1057"/>
    <cellStyle name="ЛокСмета 2 7" xfId="916"/>
    <cellStyle name="ЛокСмета 3" xfId="830"/>
    <cellStyle name="ЛокСмета 3 2" xfId="845"/>
    <cellStyle name="ЛокСмета 3 2 2" xfId="879"/>
    <cellStyle name="ЛокСмета 3 2 2 2" xfId="1145"/>
    <cellStyle name="ЛокСмета 3 2 2 3" xfId="1210"/>
    <cellStyle name="ЛокСмета 3 2 2 3 2" xfId="1385"/>
    <cellStyle name="ЛокСмета 3 2 2 4" xfId="1229"/>
    <cellStyle name="ЛокСмета 3 2 2 5" xfId="984"/>
    <cellStyle name="ЛокСмета 3 2 2 6" xfId="1293"/>
    <cellStyle name="ЛокСмета 3 2 3" xfId="1118"/>
    <cellStyle name="ЛокСмета 3 2 4" xfId="1180"/>
    <cellStyle name="ЛокСмета 3 2 4 2" xfId="1357"/>
    <cellStyle name="ЛокСмета 3 2 5" xfId="1014"/>
    <cellStyle name="ЛокСмета 3 2 6" xfId="955"/>
    <cellStyle name="ЛокСмета 3 2 7" xfId="1265"/>
    <cellStyle name="ЛокСмета 3 3" xfId="1103"/>
    <cellStyle name="ЛокСмета 3 4" xfId="1165"/>
    <cellStyle name="ЛокСмета 3 4 2" xfId="1342"/>
    <cellStyle name="ЛокСмета 3 5" xfId="1020"/>
    <cellStyle name="ЛокСмета 3 6" xfId="940"/>
    <cellStyle name="ЛокСмета 3 7" xfId="1250"/>
    <cellStyle name="ЛокСмета 4" xfId="842"/>
    <cellStyle name="ЛокСмета 4 2" xfId="876"/>
    <cellStyle name="ЛокСмета 4 2 2" xfId="1142"/>
    <cellStyle name="ЛокСмета 4 2 3" xfId="1207"/>
    <cellStyle name="ЛокСмета 4 2 3 2" xfId="1382"/>
    <cellStyle name="ЛокСмета 4 2 4" xfId="1080"/>
    <cellStyle name="ЛокСмета 4 2 5" xfId="981"/>
    <cellStyle name="ЛокСмета 4 2 6" xfId="1290"/>
    <cellStyle name="ЛокСмета 4 3" xfId="1115"/>
    <cellStyle name="ЛокСмета 4 4" xfId="1177"/>
    <cellStyle name="ЛокСмета 4 4 2" xfId="1354"/>
    <cellStyle name="ЛокСмета 4 5" xfId="1094"/>
    <cellStyle name="ЛокСмета 4 6" xfId="952"/>
    <cellStyle name="ЛокСмета 4 7" xfId="1262"/>
    <cellStyle name="ЛокСмета 5" xfId="1054"/>
    <cellStyle name="ЛокСмета 6" xfId="1059"/>
    <cellStyle name="ЛокСмета 7" xfId="1056"/>
    <cellStyle name="ЛокСмета 8" xfId="915"/>
    <cellStyle name="ЛокСмета_Образцы КС-3 Акт осмотра, справка, ведомость,акт" xfId="156"/>
    <cellStyle name="ЛокСмМТСН" xfId="157"/>
    <cellStyle name="М29" xfId="158"/>
    <cellStyle name="Название 2" xfId="159"/>
    <cellStyle name="Нейтральный 2" xfId="160"/>
    <cellStyle name="ОбСмета" xfId="161"/>
    <cellStyle name="Обычный" xfId="0" builtinId="0"/>
    <cellStyle name="Обычный 10" xfId="54"/>
    <cellStyle name="Обычный 11" xfId="162"/>
    <cellStyle name="Обычный 11 2" xfId="163"/>
    <cellStyle name="Обычный 11_без ВЫПОЛНЕНИЕ ИЮНЬ ПС САДОВАЯ ИЗМЕН 16" xfId="164"/>
    <cellStyle name="Обычный 12" xfId="165"/>
    <cellStyle name="Обычный 12 2" xfId="166"/>
    <cellStyle name="Обычный 12_без ВЫПОЛНЕНИЕ ИЮНЬ ПС САДОВАЯ ИЗМЕН 16" xfId="167"/>
    <cellStyle name="Обычный 13" xfId="168"/>
    <cellStyle name="Обычный 13 10" xfId="169"/>
    <cellStyle name="Обычный 13 10 2" xfId="170"/>
    <cellStyle name="Обычный 13 10 3" xfId="171"/>
    <cellStyle name="Обычный 13 10_без ВЫПОЛНЕНИЕ ИЮНЬ ПС САДОВАЯ ИЗМЕН 16" xfId="172"/>
    <cellStyle name="Обычный 13 11" xfId="173"/>
    <cellStyle name="Обычный 13 11 2" xfId="174"/>
    <cellStyle name="Обычный 13 11 3" xfId="175"/>
    <cellStyle name="Обычный 13 11_без ВЫПОЛНЕНИЕ ИЮНЬ ПС САДОВАЯ ИЗМЕН 16" xfId="176"/>
    <cellStyle name="Обычный 13 12" xfId="177"/>
    <cellStyle name="Обычный 13 12 2" xfId="178"/>
    <cellStyle name="Обычный 13 12 3" xfId="179"/>
    <cellStyle name="Обычный 13 12_без ВЫПОЛНЕНИЕ ИЮНЬ ПС САДОВАЯ ИЗМЕН 16" xfId="180"/>
    <cellStyle name="Обычный 13 13" xfId="181"/>
    <cellStyle name="Обычный 13 13 2" xfId="182"/>
    <cellStyle name="Обычный 13 13 3" xfId="183"/>
    <cellStyle name="Обычный 13 13_без ВЫПОЛНЕНИЕ ИЮНЬ ПС САДОВАЯ ИЗМЕН 16" xfId="184"/>
    <cellStyle name="Обычный 13 14" xfId="185"/>
    <cellStyle name="Обычный 13 14 2" xfId="186"/>
    <cellStyle name="Обычный 13 14 3" xfId="187"/>
    <cellStyle name="Обычный 13 14_без ВЫПОЛНЕНИЕ ИЮНЬ ПС САДОВАЯ ИЗМЕН 16" xfId="188"/>
    <cellStyle name="Обычный 13 15" xfId="189"/>
    <cellStyle name="Обычный 13 15 2" xfId="190"/>
    <cellStyle name="Обычный 13 15 3" xfId="191"/>
    <cellStyle name="Обычный 13 15_без ВЫПОЛНЕНИЕ ИЮНЬ ПС САДОВАЯ ИЗМЕН 16" xfId="192"/>
    <cellStyle name="Обычный 13 16" xfId="193"/>
    <cellStyle name="Обычный 13 17" xfId="194"/>
    <cellStyle name="Обычный 13 18" xfId="195"/>
    <cellStyle name="Обычный 13 19" xfId="196"/>
    <cellStyle name="Обычный 13 2" xfId="197"/>
    <cellStyle name="Обычный 13 2 2" xfId="198"/>
    <cellStyle name="Обычный 13 2 3" xfId="199"/>
    <cellStyle name="Обычный 13 2_без ВЫПОЛНЕНИЕ ИЮНЬ ПС САДОВАЯ ИЗМЕН 16" xfId="200"/>
    <cellStyle name="Обычный 13 3" xfId="201"/>
    <cellStyle name="Обычный 13 3 2" xfId="202"/>
    <cellStyle name="Обычный 13 3 3" xfId="203"/>
    <cellStyle name="Обычный 13 3_без ВЫПОЛНЕНИЕ ИЮНЬ ПС САДОВАЯ ИЗМЕН 16" xfId="204"/>
    <cellStyle name="Обычный 13 4" xfId="205"/>
    <cellStyle name="Обычный 13 4 2" xfId="206"/>
    <cellStyle name="Обычный 13 4 3" xfId="207"/>
    <cellStyle name="Обычный 13 4_без ВЫПОЛНЕНИЕ ИЮНЬ ПС САДОВАЯ ИЗМЕН 16" xfId="208"/>
    <cellStyle name="Обычный 13 5" xfId="209"/>
    <cellStyle name="Обычный 13 5 2" xfId="210"/>
    <cellStyle name="Обычный 13 5 3" xfId="211"/>
    <cellStyle name="Обычный 13 5_без ВЫПОЛНЕНИЕ ИЮНЬ ПС САДОВАЯ ИЗМЕН 16" xfId="212"/>
    <cellStyle name="Обычный 13 6" xfId="213"/>
    <cellStyle name="Обычный 13 6 2" xfId="214"/>
    <cellStyle name="Обычный 13 6 3" xfId="215"/>
    <cellStyle name="Обычный 13 6_без ВЫПОЛНЕНИЕ ИЮНЬ ПС САДОВАЯ ИЗМЕН 16" xfId="216"/>
    <cellStyle name="Обычный 13 7" xfId="217"/>
    <cellStyle name="Обычный 13 7 2" xfId="218"/>
    <cellStyle name="Обычный 13 7 3" xfId="219"/>
    <cellStyle name="Обычный 13 7_без ВЫПОЛНЕНИЕ ИЮНЬ ПС САДОВАЯ ИЗМЕН 16" xfId="220"/>
    <cellStyle name="Обычный 13 8" xfId="221"/>
    <cellStyle name="Обычный 13 8 2" xfId="222"/>
    <cellStyle name="Обычный 13 8 3" xfId="223"/>
    <cellStyle name="Обычный 13 8_без ВЫПОЛНЕНИЕ ИЮНЬ ПС САДОВАЯ ИЗМЕН 16" xfId="224"/>
    <cellStyle name="Обычный 13 9" xfId="225"/>
    <cellStyle name="Обычный 13 9 2" xfId="226"/>
    <cellStyle name="Обычный 13 9 3" xfId="227"/>
    <cellStyle name="Обычный 13 9_без ВЫПОЛНЕНИЕ ИЮНЬ ПС САДОВАЯ ИЗМЕН 16" xfId="228"/>
    <cellStyle name="Обычный 13_ВЫПОЛНЕНИЕ  АПР ПС САДОВ ИЗМЕН2" xfId="229"/>
    <cellStyle name="Обычный 14" xfId="230"/>
    <cellStyle name="Обычный 14 2" xfId="231"/>
    <cellStyle name="Обычный 14_ВЫПОЛНЕНИЕ  АПР ПС САДОВ ИЗМЕН2" xfId="232"/>
    <cellStyle name="Обычный 15" xfId="233"/>
    <cellStyle name="Обычный 16" xfId="234"/>
    <cellStyle name="Обычный 17" xfId="235"/>
    <cellStyle name="Обычный 17 2" xfId="236"/>
    <cellStyle name="Обычный 17 3" xfId="237"/>
    <cellStyle name="Обычный 17 4" xfId="238"/>
    <cellStyle name="Обычный 17 4 2" xfId="239"/>
    <cellStyle name="Обычный 17_ВЫПОЛНЕНИЕ  АПР ПС САДОВ ИЗМЕН2" xfId="240"/>
    <cellStyle name="Обычный 18" xfId="241"/>
    <cellStyle name="Обычный 18 2" xfId="242"/>
    <cellStyle name="Обычный 18_Образцы КС-3 Акт осмотра, справка, ведомость,акт" xfId="243"/>
    <cellStyle name="Обычный 19" xfId="244"/>
    <cellStyle name="Обычный 2" xfId="48"/>
    <cellStyle name="Обычный 2 10" xfId="245"/>
    <cellStyle name="Обычный 2 10 10" xfId="246"/>
    <cellStyle name="Обычный 2 10 10 2" xfId="247"/>
    <cellStyle name="Обычный 2 10 10 3" xfId="248"/>
    <cellStyle name="Обычный 2 10 10_без ВЫПОЛНЕНИЕ ИЮНЬ ПС САДОВАЯ ИЗМЕН 16" xfId="249"/>
    <cellStyle name="Обычный 2 10 11" xfId="250"/>
    <cellStyle name="Обычный 2 10 11 2" xfId="251"/>
    <cellStyle name="Обычный 2 10 11 3" xfId="252"/>
    <cellStyle name="Обычный 2 10 11_без ВЫПОЛНЕНИЕ ИЮНЬ ПС САДОВАЯ ИЗМЕН 16" xfId="253"/>
    <cellStyle name="Обычный 2 10 12" xfId="254"/>
    <cellStyle name="Обычный 2 10 12 2" xfId="255"/>
    <cellStyle name="Обычный 2 10 12 3" xfId="256"/>
    <cellStyle name="Обычный 2 10 12_без ВЫПОЛНЕНИЕ ИЮНЬ ПС САДОВАЯ ИЗМЕН 16" xfId="257"/>
    <cellStyle name="Обычный 2 10 13" xfId="258"/>
    <cellStyle name="Обычный 2 10 13 2" xfId="259"/>
    <cellStyle name="Обычный 2 10 13 3" xfId="260"/>
    <cellStyle name="Обычный 2 10 13_без ВЫПОЛНЕНИЕ ИЮНЬ ПС САДОВАЯ ИЗМЕН 16" xfId="261"/>
    <cellStyle name="Обычный 2 10 14" xfId="262"/>
    <cellStyle name="Обычный 2 10 14 2" xfId="263"/>
    <cellStyle name="Обычный 2 10 14 3" xfId="264"/>
    <cellStyle name="Обычный 2 10 14_без ВЫПОЛНЕНИЕ ИЮНЬ ПС САДОВАЯ ИЗМЕН 16" xfId="265"/>
    <cellStyle name="Обычный 2 10 15" xfId="266"/>
    <cellStyle name="Обычный 2 10 15 2" xfId="267"/>
    <cellStyle name="Обычный 2 10 15 3" xfId="268"/>
    <cellStyle name="Обычный 2 10 15_без ВЫПОЛНЕНИЕ ИЮНЬ ПС САДОВАЯ ИЗМЕН 16" xfId="269"/>
    <cellStyle name="Обычный 2 10 16" xfId="270"/>
    <cellStyle name="Обычный 2 10 17" xfId="271"/>
    <cellStyle name="Обычный 2 10 18" xfId="272"/>
    <cellStyle name="Обычный 2 10 19" xfId="273"/>
    <cellStyle name="Обычный 2 10 2" xfId="274"/>
    <cellStyle name="Обычный 2 10 2 2" xfId="275"/>
    <cellStyle name="Обычный 2 10 2 3" xfId="276"/>
    <cellStyle name="Обычный 2 10 2_без ВЫПОЛНЕНИЕ ИЮНЬ ПС САДОВАЯ ИЗМЕН 16" xfId="277"/>
    <cellStyle name="Обычный 2 10 3" xfId="278"/>
    <cellStyle name="Обычный 2 10 3 2" xfId="279"/>
    <cellStyle name="Обычный 2 10 3 3" xfId="280"/>
    <cellStyle name="Обычный 2 10 3_без ВЫПОЛНЕНИЕ ИЮНЬ ПС САДОВАЯ ИЗМЕН 16" xfId="281"/>
    <cellStyle name="Обычный 2 10 4" xfId="282"/>
    <cellStyle name="Обычный 2 10 4 2" xfId="283"/>
    <cellStyle name="Обычный 2 10 4 3" xfId="284"/>
    <cellStyle name="Обычный 2 10 4_без ВЫПОЛНЕНИЕ ИЮНЬ ПС САДОВАЯ ИЗМЕН 16" xfId="285"/>
    <cellStyle name="Обычный 2 10 5" xfId="286"/>
    <cellStyle name="Обычный 2 10 5 2" xfId="287"/>
    <cellStyle name="Обычный 2 10 5 3" xfId="288"/>
    <cellStyle name="Обычный 2 10 5_без ВЫПОЛНЕНИЕ ИЮНЬ ПС САДОВАЯ ИЗМЕН 16" xfId="289"/>
    <cellStyle name="Обычный 2 10 6" xfId="290"/>
    <cellStyle name="Обычный 2 10 6 2" xfId="291"/>
    <cellStyle name="Обычный 2 10 6 3" xfId="292"/>
    <cellStyle name="Обычный 2 10 6_без ВЫПОЛНЕНИЕ ИЮНЬ ПС САДОВАЯ ИЗМЕН 16" xfId="293"/>
    <cellStyle name="Обычный 2 10 7" xfId="294"/>
    <cellStyle name="Обычный 2 10 7 2" xfId="295"/>
    <cellStyle name="Обычный 2 10 7 3" xfId="296"/>
    <cellStyle name="Обычный 2 10 7_без ВЫПОЛНЕНИЕ ИЮНЬ ПС САДОВАЯ ИЗМЕН 16" xfId="297"/>
    <cellStyle name="Обычный 2 10 8" xfId="298"/>
    <cellStyle name="Обычный 2 10 8 2" xfId="299"/>
    <cellStyle name="Обычный 2 10 8 3" xfId="300"/>
    <cellStyle name="Обычный 2 10 8_без ВЫПОЛНЕНИЕ ИЮНЬ ПС САДОВАЯ ИЗМЕН 16" xfId="301"/>
    <cellStyle name="Обычный 2 10 9" xfId="302"/>
    <cellStyle name="Обычный 2 10 9 2" xfId="303"/>
    <cellStyle name="Обычный 2 10 9 3" xfId="304"/>
    <cellStyle name="Обычный 2 10 9_без ВЫПОЛНЕНИЕ ИЮНЬ ПС САДОВАЯ ИЗМЕН 16" xfId="305"/>
    <cellStyle name="Обычный 2 10_ВЫПОЛНЕНИЕ  АПР ПС САДОВ ИЗМЕН2" xfId="306"/>
    <cellStyle name="Обычный 2 11" xfId="307"/>
    <cellStyle name="Обычный 2 12" xfId="308"/>
    <cellStyle name="Обычный 2 13" xfId="309"/>
    <cellStyle name="Обычный 2 14" xfId="310"/>
    <cellStyle name="Обычный 2 15" xfId="311"/>
    <cellStyle name="Обычный 2 15 2" xfId="312"/>
    <cellStyle name="Обычный 2 15 3" xfId="313"/>
    <cellStyle name="Обычный 2 15_без ВЫПОЛНЕНИЕ ИЮНЬ ПС САДОВАЯ ИЗМЕН 16" xfId="314"/>
    <cellStyle name="Обычный 2 16" xfId="315"/>
    <cellStyle name="Обычный 2 17" xfId="316"/>
    <cellStyle name="Обычный 2 18" xfId="317"/>
    <cellStyle name="Обычный 2 19" xfId="318"/>
    <cellStyle name="Обычный 2 19 2" xfId="319"/>
    <cellStyle name="Обычный 2 19_без ВЫПОЛНЕНИЕ ИЮНЬ ПС САДОВАЯ ИЗМЕН 16" xfId="320"/>
    <cellStyle name="Обычный 2 2" xfId="321"/>
    <cellStyle name="Обычный 2 2 10" xfId="322"/>
    <cellStyle name="Обычный 2 2 10 2" xfId="323"/>
    <cellStyle name="Обычный 2 2 10 3" xfId="324"/>
    <cellStyle name="Обычный 2 2 10 4" xfId="325"/>
    <cellStyle name="Обычный 2 2 10_без ВЫПОЛНЕНИЕ ИЮНЬ ПС САДОВАЯ ИЗМЕН 16" xfId="326"/>
    <cellStyle name="Обычный 2 2 11" xfId="327"/>
    <cellStyle name="Обычный 2 2 11 2" xfId="328"/>
    <cellStyle name="Обычный 2 2 11 3" xfId="329"/>
    <cellStyle name="Обычный 2 2 11_без ВЫПОЛНЕНИЕ ИЮНЬ ПС САДОВАЯ ИЗМЕН 16" xfId="330"/>
    <cellStyle name="Обычный 2 2 12" xfId="331"/>
    <cellStyle name="Обычный 2 2 12 2" xfId="332"/>
    <cellStyle name="Обычный 2 2 12 3" xfId="333"/>
    <cellStyle name="Обычный 2 2 12_без ВЫПОЛНЕНИЕ ИЮНЬ ПС САДОВАЯ ИЗМЕН 16" xfId="334"/>
    <cellStyle name="Обычный 2 2 13" xfId="335"/>
    <cellStyle name="Обычный 2 2 13 2" xfId="336"/>
    <cellStyle name="Обычный 2 2 13 3" xfId="337"/>
    <cellStyle name="Обычный 2 2 13_без ВЫПОЛНЕНИЕ ИЮНЬ ПС САДОВАЯ ИЗМЕН 16" xfId="338"/>
    <cellStyle name="Обычный 2 2 14" xfId="339"/>
    <cellStyle name="Обычный 2 2 14 2" xfId="340"/>
    <cellStyle name="Обычный 2 2 14 3" xfId="341"/>
    <cellStyle name="Обычный 2 2 14_без ВЫПОЛНЕНИЕ ИЮНЬ ПС САДОВАЯ ИЗМЕН 16" xfId="342"/>
    <cellStyle name="Обычный 2 2 15" xfId="343"/>
    <cellStyle name="Обычный 2 2 15 2" xfId="344"/>
    <cellStyle name="Обычный 2 2 15 3" xfId="345"/>
    <cellStyle name="Обычный 2 2 15_без ВЫПОЛНЕНИЕ ИЮНЬ ПС САДОВАЯ ИЗМЕН 16" xfId="346"/>
    <cellStyle name="Обычный 2 2 16" xfId="347"/>
    <cellStyle name="Обычный 2 2 16 2" xfId="348"/>
    <cellStyle name="Обычный 2 2 16 3" xfId="349"/>
    <cellStyle name="Обычный 2 2 16_без ВЫПОЛНЕНИЕ ИЮНЬ ПС САДОВАЯ ИЗМЕН 16" xfId="350"/>
    <cellStyle name="Обычный 2 2 17" xfId="351"/>
    <cellStyle name="Обычный 2 2 18" xfId="352"/>
    <cellStyle name="Обычный 2 2 19" xfId="353"/>
    <cellStyle name="Обычный 2 2 2" xfId="354"/>
    <cellStyle name="Обычный 2 2 2 2" xfId="355"/>
    <cellStyle name="Обычный 2 2 2 2 2" xfId="356"/>
    <cellStyle name="Обычный 2 2 2 2_без ВЫПОЛНЕНИЕ ИЮНЬ ПС САДОВАЯ ИЗМЕН 16" xfId="357"/>
    <cellStyle name="Обычный 2 2 2 3" xfId="358"/>
    <cellStyle name="Обычный 2 2 2 4" xfId="359"/>
    <cellStyle name="Обычный 2 2 2_без ВЫПОЛНЕНИЕ ИЮНЬ ПС САДОВАЯ ИЗМЕН 16" xfId="360"/>
    <cellStyle name="Обычный 2 2 20" xfId="361"/>
    <cellStyle name="Обычный 2 2 21" xfId="362"/>
    <cellStyle name="Обычный 2 2 22" xfId="363"/>
    <cellStyle name="Обычный 2 2 22 2" xfId="364"/>
    <cellStyle name="Обычный 2 2 22 3" xfId="365"/>
    <cellStyle name="Обычный 2 2 22 4" xfId="366"/>
    <cellStyle name="Обычный 2 2 22 5" xfId="367"/>
    <cellStyle name="Обычный 2 2 22_без ВЫПОЛНЕНИЕ ИЮНЬ ПС САДОВАЯ ИЗМЕН 16" xfId="368"/>
    <cellStyle name="Обычный 2 2 23" xfId="369"/>
    <cellStyle name="Обычный 2 2 24" xfId="370"/>
    <cellStyle name="Обычный 2 2 25" xfId="371"/>
    <cellStyle name="Обычный 2 2 26" xfId="372"/>
    <cellStyle name="Обычный 2 2 27" xfId="373"/>
    <cellStyle name="Обычный 2 2 27 2" xfId="374"/>
    <cellStyle name="Обычный 2 2 27_без ВЫПОЛНЕНИЕ ИЮНЬ ПС САДОВАЯ ИЗМЕН 16" xfId="375"/>
    <cellStyle name="Обычный 2 2 28" xfId="376"/>
    <cellStyle name="Обычный 2 2 29" xfId="377"/>
    <cellStyle name="Обычный 2 2 29 2" xfId="378"/>
    <cellStyle name="Обычный 2 2 29_без ВЫПОЛНЕНИЕ ИЮНЬ ПС САДОВАЯ ИЗМЕН 16" xfId="379"/>
    <cellStyle name="Обычный 2 2 3" xfId="380"/>
    <cellStyle name="Обычный 2 2 3 2" xfId="381"/>
    <cellStyle name="Обычный 2 2 3 3" xfId="382"/>
    <cellStyle name="Обычный 2 2 3_без ВЫПОЛНЕНИЕ ИЮНЬ ПС САДОВАЯ ИЗМЕН 16" xfId="383"/>
    <cellStyle name="Обычный 2 2 30" xfId="384"/>
    <cellStyle name="Обычный 2 2 31" xfId="385"/>
    <cellStyle name="Обычный 2 2 32" xfId="386"/>
    <cellStyle name="Обычный 2 2 33" xfId="387"/>
    <cellStyle name="Обычный 2 2 34" xfId="388"/>
    <cellStyle name="Обычный 2 2 35" xfId="389"/>
    <cellStyle name="Обычный 2 2 36" xfId="390"/>
    <cellStyle name="Обычный 2 2 37" xfId="391"/>
    <cellStyle name="Обычный 2 2 38" xfId="392"/>
    <cellStyle name="Обычный 2 2 39" xfId="393"/>
    <cellStyle name="Обычный 2 2 4" xfId="394"/>
    <cellStyle name="Обычный 2 2 4 2" xfId="395"/>
    <cellStyle name="Обычный 2 2 4 3" xfId="396"/>
    <cellStyle name="Обычный 2 2 4_без ВЫПОЛНЕНИЕ ИЮНЬ ПС САДОВАЯ ИЗМЕН 16" xfId="397"/>
    <cellStyle name="Обычный 2 2 40" xfId="398"/>
    <cellStyle name="Обычный 2 2 5" xfId="399"/>
    <cellStyle name="Обычный 2 2 5 2" xfId="400"/>
    <cellStyle name="Обычный 2 2 5 3" xfId="401"/>
    <cellStyle name="Обычный 2 2 5_без ВЫПОЛНЕНИЕ ИЮНЬ ПС САДОВАЯ ИЗМЕН 16" xfId="402"/>
    <cellStyle name="Обычный 2 2 6" xfId="403"/>
    <cellStyle name="Обычный 2 2 6 2" xfId="404"/>
    <cellStyle name="Обычный 2 2 6 3" xfId="405"/>
    <cellStyle name="Обычный 2 2 6_без ВЫПОЛНЕНИЕ ИЮНЬ ПС САДОВАЯ ИЗМЕН 16" xfId="406"/>
    <cellStyle name="Обычный 2 2 7" xfId="407"/>
    <cellStyle name="Обычный 2 2 7 2" xfId="408"/>
    <cellStyle name="Обычный 2 2 7 3" xfId="409"/>
    <cellStyle name="Обычный 2 2 7_без ВЫПОЛНЕНИЕ ИЮНЬ ПС САДОВАЯ ИЗМЕН 16" xfId="410"/>
    <cellStyle name="Обычный 2 2 8" xfId="411"/>
    <cellStyle name="Обычный 2 2 8 2" xfId="412"/>
    <cellStyle name="Обычный 2 2 8 3" xfId="413"/>
    <cellStyle name="Обычный 2 2 8_без ВЫПОЛНЕНИЕ ИЮНЬ ПС САДОВАЯ ИЗМЕН 16" xfId="414"/>
    <cellStyle name="Обычный 2 2 9" xfId="415"/>
    <cellStyle name="Обычный 2 2 9 2" xfId="416"/>
    <cellStyle name="Обычный 2 2 9 3" xfId="417"/>
    <cellStyle name="Обычный 2 2 9_без ВЫПОЛНЕНИЕ ИЮНЬ ПС САДОВАЯ ИЗМЕН 16" xfId="418"/>
    <cellStyle name="Обычный 2 2_ВЫПОЛНЕНИЕ  АПР ПС САДОВ ИЗМЕН2" xfId="419"/>
    <cellStyle name="Обычный 2 20" xfId="420"/>
    <cellStyle name="Обычный 2 21" xfId="421"/>
    <cellStyle name="Обычный 2 22" xfId="422"/>
    <cellStyle name="Обычный 2 22 2" xfId="423"/>
    <cellStyle name="Обычный 2 22_ВЫПОЛНЕНИЕ  АПР ПС САДОВ ИЗМЕН2" xfId="424"/>
    <cellStyle name="Обычный 2 23" xfId="425"/>
    <cellStyle name="Обычный 2 24" xfId="426"/>
    <cellStyle name="Обычный 2 24 2" xfId="427"/>
    <cellStyle name="Обычный 2 24_ВЫПОЛНЕНИЕ  АПР ПС САДОВ ИЗМЕН2" xfId="428"/>
    <cellStyle name="Обычный 2 25" xfId="429"/>
    <cellStyle name="Обычный 2 26" xfId="430"/>
    <cellStyle name="Обычный 2 27" xfId="431"/>
    <cellStyle name="Обычный 2 28" xfId="432"/>
    <cellStyle name="Обычный 2 29" xfId="433"/>
    <cellStyle name="Обычный 2 3" xfId="434"/>
    <cellStyle name="Обычный 2 3 10" xfId="435"/>
    <cellStyle name="Обычный 2 3 10 2" xfId="436"/>
    <cellStyle name="Обычный 2 3 10 3" xfId="437"/>
    <cellStyle name="Обычный 2 3 10_без ВЫПОЛНЕНИЕ ИЮНЬ ПС САДОВАЯ ИЗМЕН 16" xfId="438"/>
    <cellStyle name="Обычный 2 3 11" xfId="439"/>
    <cellStyle name="Обычный 2 3 11 2" xfId="440"/>
    <cellStyle name="Обычный 2 3 11 3" xfId="441"/>
    <cellStyle name="Обычный 2 3 11_без ВЫПОЛНЕНИЕ ИЮНЬ ПС САДОВАЯ ИЗМЕН 16" xfId="442"/>
    <cellStyle name="Обычный 2 3 12" xfId="443"/>
    <cellStyle name="Обычный 2 3 12 2" xfId="444"/>
    <cellStyle name="Обычный 2 3 12 3" xfId="445"/>
    <cellStyle name="Обычный 2 3 12_без ВЫПОЛНЕНИЕ ИЮНЬ ПС САДОВАЯ ИЗМЕН 16" xfId="446"/>
    <cellStyle name="Обычный 2 3 13" xfId="447"/>
    <cellStyle name="Обычный 2 3 13 2" xfId="448"/>
    <cellStyle name="Обычный 2 3 13 3" xfId="449"/>
    <cellStyle name="Обычный 2 3 13_без ВЫПОЛНЕНИЕ ИЮНЬ ПС САДОВАЯ ИЗМЕН 16" xfId="450"/>
    <cellStyle name="Обычный 2 3 14" xfId="451"/>
    <cellStyle name="Обычный 2 3 14 2" xfId="452"/>
    <cellStyle name="Обычный 2 3 14 3" xfId="453"/>
    <cellStyle name="Обычный 2 3 14_без ВЫПОЛНЕНИЕ ИЮНЬ ПС САДОВАЯ ИЗМЕН 16" xfId="454"/>
    <cellStyle name="Обычный 2 3 15" xfId="455"/>
    <cellStyle name="Обычный 2 3 15 2" xfId="456"/>
    <cellStyle name="Обычный 2 3 15 3" xfId="457"/>
    <cellStyle name="Обычный 2 3 15_без ВЫПОЛНЕНИЕ ИЮНЬ ПС САДОВАЯ ИЗМЕН 16" xfId="458"/>
    <cellStyle name="Обычный 2 3 16" xfId="459"/>
    <cellStyle name="Обычный 2 3 17" xfId="460"/>
    <cellStyle name="Обычный 2 3 18" xfId="461"/>
    <cellStyle name="Обычный 2 3 19" xfId="462"/>
    <cellStyle name="Обычный 2 3 2" xfId="463"/>
    <cellStyle name="Обычный 2 3 2 2" xfId="464"/>
    <cellStyle name="Обычный 2 3 2 3" xfId="465"/>
    <cellStyle name="Обычный 2 3 2_без ВЫПОЛНЕНИЕ ИЮНЬ ПС САДОВАЯ ИЗМЕН 16" xfId="466"/>
    <cellStyle name="Обычный 2 3 3" xfId="467"/>
    <cellStyle name="Обычный 2 3 3 2" xfId="468"/>
    <cellStyle name="Обычный 2 3 3 3" xfId="469"/>
    <cellStyle name="Обычный 2 3 3_без ВЫПОЛНЕНИЕ ИЮНЬ ПС САДОВАЯ ИЗМЕН 16" xfId="470"/>
    <cellStyle name="Обычный 2 3 4" xfId="471"/>
    <cellStyle name="Обычный 2 3 4 2" xfId="472"/>
    <cellStyle name="Обычный 2 3 4 3" xfId="473"/>
    <cellStyle name="Обычный 2 3 4_без ВЫПОЛНЕНИЕ ИЮНЬ ПС САДОВАЯ ИЗМЕН 16" xfId="474"/>
    <cellStyle name="Обычный 2 3 5" xfId="475"/>
    <cellStyle name="Обычный 2 3 5 2" xfId="476"/>
    <cellStyle name="Обычный 2 3 5 3" xfId="477"/>
    <cellStyle name="Обычный 2 3 5_без ВЫПОЛНЕНИЕ ИЮНЬ ПС САДОВАЯ ИЗМЕН 16" xfId="478"/>
    <cellStyle name="Обычный 2 3 6" xfId="479"/>
    <cellStyle name="Обычный 2 3 6 2" xfId="480"/>
    <cellStyle name="Обычный 2 3 6 3" xfId="481"/>
    <cellStyle name="Обычный 2 3 6_без ВЫПОЛНЕНИЕ ИЮНЬ ПС САДОВАЯ ИЗМЕН 16" xfId="482"/>
    <cellStyle name="Обычный 2 3 7" xfId="483"/>
    <cellStyle name="Обычный 2 3 7 2" xfId="484"/>
    <cellStyle name="Обычный 2 3 7 3" xfId="485"/>
    <cellStyle name="Обычный 2 3 7_без ВЫПОЛНЕНИЕ ИЮНЬ ПС САДОВАЯ ИЗМЕН 16" xfId="486"/>
    <cellStyle name="Обычный 2 3 8" xfId="487"/>
    <cellStyle name="Обычный 2 3 8 2" xfId="488"/>
    <cellStyle name="Обычный 2 3 8 3" xfId="489"/>
    <cellStyle name="Обычный 2 3 8_без ВЫПОЛНЕНИЕ ИЮНЬ ПС САДОВАЯ ИЗМЕН 16" xfId="490"/>
    <cellStyle name="Обычный 2 3 9" xfId="491"/>
    <cellStyle name="Обычный 2 3 9 2" xfId="492"/>
    <cellStyle name="Обычный 2 3 9 3" xfId="493"/>
    <cellStyle name="Обычный 2 3 9_без ВЫПОЛНЕНИЕ ИЮНЬ ПС САДОВАЯ ИЗМЕН 16" xfId="494"/>
    <cellStyle name="Обычный 2 3_ВЫПОЛНЕНИЕ  АПР ПС САДОВ ИЗМЕН2" xfId="495"/>
    <cellStyle name="Обычный 2 30" xfId="496"/>
    <cellStyle name="Обычный 2 31" xfId="497"/>
    <cellStyle name="Обычный 2 32" xfId="498"/>
    <cellStyle name="Обычный 2 33" xfId="499"/>
    <cellStyle name="Обычный 2 34" xfId="500"/>
    <cellStyle name="Обычный 2 35" xfId="501"/>
    <cellStyle name="Обычный 2 36" xfId="502"/>
    <cellStyle name="Обычный 2 37" xfId="503"/>
    <cellStyle name="Обычный 2 38" xfId="504"/>
    <cellStyle name="Обычный 2 39" xfId="505"/>
    <cellStyle name="Обычный 2 4" xfId="506"/>
    <cellStyle name="Обычный 2 40" xfId="507"/>
    <cellStyle name="Обычный 2 5" xfId="508"/>
    <cellStyle name="Обычный 2 5 2" xfId="509"/>
    <cellStyle name="Обычный 2 5 3" xfId="510"/>
    <cellStyle name="Обычный 2 5_без ВЫПОЛНЕНИЕ ИЮНЬ ПС САДОВАЯ ИЗМЕН 16" xfId="511"/>
    <cellStyle name="Обычный 2 6" xfId="512"/>
    <cellStyle name="Обычный 2 6 10" xfId="513"/>
    <cellStyle name="Обычный 2 6 10 2" xfId="514"/>
    <cellStyle name="Обычный 2 6 10 3" xfId="515"/>
    <cellStyle name="Обычный 2 6 10 4" xfId="516"/>
    <cellStyle name="Обычный 2 6 10 5" xfId="517"/>
    <cellStyle name="Обычный 2 6 10_без ВЫПОЛНЕНИЕ ИЮНЬ ПС САДОВАЯ ИЗМЕН 16" xfId="518"/>
    <cellStyle name="Обычный 2 6 11" xfId="519"/>
    <cellStyle name="Обычный 2 6 11 2" xfId="520"/>
    <cellStyle name="Обычный 2 6 11 3" xfId="521"/>
    <cellStyle name="Обычный 2 6 11_без ВЫПОЛНЕНИЕ ИЮНЬ ПС САДОВАЯ ИЗМЕН 16" xfId="522"/>
    <cellStyle name="Обычный 2 6 12" xfId="523"/>
    <cellStyle name="Обычный 2 6 12 2" xfId="524"/>
    <cellStyle name="Обычный 2 6 12 3" xfId="525"/>
    <cellStyle name="Обычный 2 6 12_без ВЫПОЛНЕНИЕ ИЮНЬ ПС САДОВАЯ ИЗМЕН 16" xfId="526"/>
    <cellStyle name="Обычный 2 6 13" xfId="527"/>
    <cellStyle name="Обычный 2 6 13 2" xfId="528"/>
    <cellStyle name="Обычный 2 6 13 3" xfId="529"/>
    <cellStyle name="Обычный 2 6 13_без ВЫПОЛНЕНИЕ ИЮНЬ ПС САДОВАЯ ИЗМЕН 16" xfId="530"/>
    <cellStyle name="Обычный 2 6 14" xfId="531"/>
    <cellStyle name="Обычный 2 6 14 2" xfId="532"/>
    <cellStyle name="Обычный 2 6 14 3" xfId="533"/>
    <cellStyle name="Обычный 2 6 14_без ВЫПОЛНЕНИЕ ИЮНЬ ПС САДОВАЯ ИЗМЕН 16" xfId="534"/>
    <cellStyle name="Обычный 2 6 15" xfId="535"/>
    <cellStyle name="Обычный 2 6 15 2" xfId="536"/>
    <cellStyle name="Обычный 2 6 15 3" xfId="537"/>
    <cellStyle name="Обычный 2 6 15_без ВЫПОЛНЕНИЕ ИЮНЬ ПС САДОВАЯ ИЗМЕН 16" xfId="538"/>
    <cellStyle name="Обычный 2 6 16" xfId="539"/>
    <cellStyle name="Обычный 2 6 16 2" xfId="540"/>
    <cellStyle name="Обычный 2 6 16 3" xfId="541"/>
    <cellStyle name="Обычный 2 6 16_без ВЫПОЛНЕНИЕ ИЮНЬ ПС САДОВАЯ ИЗМЕН 16" xfId="542"/>
    <cellStyle name="Обычный 2 6 17" xfId="543"/>
    <cellStyle name="Обычный 2 6 18" xfId="544"/>
    <cellStyle name="Обычный 2 6 19" xfId="545"/>
    <cellStyle name="Обычный 2 6 2" xfId="546"/>
    <cellStyle name="Обычный 2 6 2 2" xfId="547"/>
    <cellStyle name="Обычный 2 6 2 3" xfId="548"/>
    <cellStyle name="Обычный 2 6 2_без ВЫПОЛНЕНИЕ ИЮНЬ ПС САДОВАЯ ИЗМЕН 16" xfId="549"/>
    <cellStyle name="Обычный 2 6 20" xfId="550"/>
    <cellStyle name="Обычный 2 6 3" xfId="551"/>
    <cellStyle name="Обычный 2 6 3 2" xfId="552"/>
    <cellStyle name="Обычный 2 6 3 3" xfId="553"/>
    <cellStyle name="Обычный 2 6 3_без ВЫПОЛНЕНИЕ ИЮНЬ ПС САДОВАЯ ИЗМЕН 16" xfId="554"/>
    <cellStyle name="Обычный 2 6 4" xfId="555"/>
    <cellStyle name="Обычный 2 6 4 2" xfId="556"/>
    <cellStyle name="Обычный 2 6 4 3" xfId="557"/>
    <cellStyle name="Обычный 2 6 4_без ВЫПОЛНЕНИЕ ИЮНЬ ПС САДОВАЯ ИЗМЕН 16" xfId="558"/>
    <cellStyle name="Обычный 2 6 5" xfId="559"/>
    <cellStyle name="Обычный 2 6 5 2" xfId="560"/>
    <cellStyle name="Обычный 2 6 5 3" xfId="561"/>
    <cellStyle name="Обычный 2 6 5_без ВЫПОЛНЕНИЕ ИЮНЬ ПС САДОВАЯ ИЗМЕН 16" xfId="562"/>
    <cellStyle name="Обычный 2 6 6" xfId="563"/>
    <cellStyle name="Обычный 2 6 6 2" xfId="564"/>
    <cellStyle name="Обычный 2 6 6 3" xfId="565"/>
    <cellStyle name="Обычный 2 6 6_без ВЫПОЛНЕНИЕ ИЮНЬ ПС САДОВАЯ ИЗМЕН 16" xfId="566"/>
    <cellStyle name="Обычный 2 6 7" xfId="567"/>
    <cellStyle name="Обычный 2 6 7 2" xfId="568"/>
    <cellStyle name="Обычный 2 6 7 3" xfId="569"/>
    <cellStyle name="Обычный 2 6 7_без ВЫПОЛНЕНИЕ ИЮНЬ ПС САДОВАЯ ИЗМЕН 16" xfId="570"/>
    <cellStyle name="Обычный 2 6 8" xfId="571"/>
    <cellStyle name="Обычный 2 6 8 2" xfId="572"/>
    <cellStyle name="Обычный 2 6 8 3" xfId="573"/>
    <cellStyle name="Обычный 2 6 8_без ВЫПОЛНЕНИЕ ИЮНЬ ПС САДОВАЯ ИЗМЕН 16" xfId="574"/>
    <cellStyle name="Обычный 2 6 9" xfId="575"/>
    <cellStyle name="Обычный 2 6 9 2" xfId="576"/>
    <cellStyle name="Обычный 2 6 9 3" xfId="577"/>
    <cellStyle name="Обычный 2 6 9_без ВЫПОЛНЕНИЕ ИЮНЬ ПС САДОВАЯ ИЗМЕН 16" xfId="578"/>
    <cellStyle name="Обычный 2 6_ВЫПОЛНЕНИЕ  АПР ПС САДОВ ИЗМЕН2" xfId="579"/>
    <cellStyle name="Обычный 2 7" xfId="580"/>
    <cellStyle name="Обычный 2 8" xfId="581"/>
    <cellStyle name="Обычный 2 9" xfId="582"/>
    <cellStyle name="Обычный 2_ВЫПОЛНЕНИЕ  АПР ПС САДОВ ИЗМЕН2" xfId="583"/>
    <cellStyle name="Обычный 20" xfId="584"/>
    <cellStyle name="Обычный 20 2" xfId="585"/>
    <cellStyle name="Обычный 20 2 2" xfId="586"/>
    <cellStyle name="Обычный 20 2 3" xfId="587"/>
    <cellStyle name="Обычный 20 2 4" xfId="588"/>
    <cellStyle name="Обычный 20 3" xfId="589"/>
    <cellStyle name="Обычный 20 3 2" xfId="590"/>
    <cellStyle name="Обычный 20 4" xfId="591"/>
    <cellStyle name="Обычный 20 5" xfId="592"/>
    <cellStyle name="Обычный 20_Образцы КС-3 Акт осмотра, справка, ведомость,акт" xfId="593"/>
    <cellStyle name="Обычный 21" xfId="594"/>
    <cellStyle name="Обычный 22" xfId="595"/>
    <cellStyle name="Обычный 22 2" xfId="596"/>
    <cellStyle name="Обычный 22 2 2" xfId="597"/>
    <cellStyle name="Обычный 22 2 3" xfId="598"/>
    <cellStyle name="Обычный 22 2 4" xfId="599"/>
    <cellStyle name="Обычный 22 3" xfId="600"/>
    <cellStyle name="Обычный 22 4" xfId="601"/>
    <cellStyle name="Обычный 22 5" xfId="602"/>
    <cellStyle name="Обычный 22_Образцы КС-3 Акт осмотра, справка, ведомость,акт" xfId="603"/>
    <cellStyle name="Обычный 23" xfId="604"/>
    <cellStyle name="Обычный 24" xfId="605"/>
    <cellStyle name="Обычный 25" xfId="606"/>
    <cellStyle name="Обычный 26" xfId="607"/>
    <cellStyle name="Обычный 27" xfId="608"/>
    <cellStyle name="Обычный 28" xfId="609"/>
    <cellStyle name="Обычный 29" xfId="610"/>
    <cellStyle name="Обычный 3" xfId="49"/>
    <cellStyle name="Обычный 3 2" xfId="611"/>
    <cellStyle name="Обычный 3 3" xfId="612"/>
    <cellStyle name="Обычный 3_ВЫПОЛНЕНИЕ  АПР ПС САДОВ ИЗМЕН2" xfId="613"/>
    <cellStyle name="Обычный 30" xfId="614"/>
    <cellStyle name="Обычный 31" xfId="615"/>
    <cellStyle name="Обычный 32" xfId="616"/>
    <cellStyle name="Обычный 33" xfId="617"/>
    <cellStyle name="Обычный 34" xfId="618"/>
    <cellStyle name="Обычный 35" xfId="619"/>
    <cellStyle name="Обычный 36" xfId="620"/>
    <cellStyle name="Обычный 37" xfId="621"/>
    <cellStyle name="Обычный 38" xfId="622"/>
    <cellStyle name="Обычный 39" xfId="623"/>
    <cellStyle name="Обычный 4" xfId="53"/>
    <cellStyle name="Обычный 4 2" xfId="50"/>
    <cellStyle name="Обычный 4 2 2" xfId="624"/>
    <cellStyle name="Обычный 4 2 2 2" xfId="625"/>
    <cellStyle name="Обычный 4 2 3" xfId="626"/>
    <cellStyle name="Обычный 4 2_Образцы КС-3 Акт осмотра, справка, ведомость,акт" xfId="627"/>
    <cellStyle name="Обычный 4 3" xfId="628"/>
    <cellStyle name="Обычный 4 3 10" xfId="629"/>
    <cellStyle name="Обычный 4 3 10 2" xfId="630"/>
    <cellStyle name="Обычный 4 3 10_5-2" xfId="631"/>
    <cellStyle name="Обычный 4 3 11" xfId="632"/>
    <cellStyle name="Обычный 4 3 11 2" xfId="633"/>
    <cellStyle name="Обычный 4 3 11_5-2" xfId="634"/>
    <cellStyle name="Обычный 4 3 12" xfId="635"/>
    <cellStyle name="Обычный 4 3 12 2" xfId="636"/>
    <cellStyle name="Обычный 4 3 12_5-2" xfId="637"/>
    <cellStyle name="Обычный 4 3 13" xfId="638"/>
    <cellStyle name="Обычный 4 3 13 2" xfId="639"/>
    <cellStyle name="Обычный 4 3 13_5-2" xfId="640"/>
    <cellStyle name="Обычный 4 3 14" xfId="641"/>
    <cellStyle name="Обычный 4 3 14 2" xfId="642"/>
    <cellStyle name="Обычный 4 3 14_5-2" xfId="643"/>
    <cellStyle name="Обычный 4 3 15" xfId="644"/>
    <cellStyle name="Обычный 4 3 2" xfId="645"/>
    <cellStyle name="Обычный 4 3 2 2" xfId="646"/>
    <cellStyle name="Обычный 4 3 2_5-2" xfId="647"/>
    <cellStyle name="Обычный 4 3 3" xfId="648"/>
    <cellStyle name="Обычный 4 3 3 2" xfId="649"/>
    <cellStyle name="Обычный 4 3 3_5-2" xfId="650"/>
    <cellStyle name="Обычный 4 3 4" xfId="651"/>
    <cellStyle name="Обычный 4 3 4 2" xfId="652"/>
    <cellStyle name="Обычный 4 3 4_5-2" xfId="653"/>
    <cellStyle name="Обычный 4 3 5" xfId="654"/>
    <cellStyle name="Обычный 4 3 5 2" xfId="655"/>
    <cellStyle name="Обычный 4 3 5_5-2" xfId="656"/>
    <cellStyle name="Обычный 4 3 6" xfId="657"/>
    <cellStyle name="Обычный 4 3 6 2" xfId="658"/>
    <cellStyle name="Обычный 4 3 6_5-2" xfId="659"/>
    <cellStyle name="Обычный 4 3 7" xfId="660"/>
    <cellStyle name="Обычный 4 3 7 2" xfId="661"/>
    <cellStyle name="Обычный 4 3 7_5-2" xfId="662"/>
    <cellStyle name="Обычный 4 3 8" xfId="663"/>
    <cellStyle name="Обычный 4 3 8 2" xfId="664"/>
    <cellStyle name="Обычный 4 3 8_5-2" xfId="665"/>
    <cellStyle name="Обычный 4 3 9" xfId="666"/>
    <cellStyle name="Обычный 4 3 9 2" xfId="667"/>
    <cellStyle name="Обычный 4 3 9_5-2" xfId="668"/>
    <cellStyle name="Обычный 4 3_5-2" xfId="669"/>
    <cellStyle name="Обычный 4 4" xfId="670"/>
    <cellStyle name="Обычный 4_5-2" xfId="671"/>
    <cellStyle name="Обычный 40" xfId="672"/>
    <cellStyle name="Обычный 41" xfId="673"/>
    <cellStyle name="Обычный 42" xfId="5"/>
    <cellStyle name="Обычный 43" xfId="674"/>
    <cellStyle name="Обычный 44" xfId="675"/>
    <cellStyle name="Обычный 45" xfId="676"/>
    <cellStyle name="Обычный 46" xfId="677"/>
    <cellStyle name="Обычный 47" xfId="678"/>
    <cellStyle name="Обычный 48" xfId="679"/>
    <cellStyle name="Обычный 49" xfId="680"/>
    <cellStyle name="Обычный 5" xfId="681"/>
    <cellStyle name="Обычный 5 2" xfId="682"/>
    <cellStyle name="Обычный 5_ВЫПОЛНЕНИЕ ИЮНЬ ПС САДОВАЯ ИЗМЕН 17" xfId="683"/>
    <cellStyle name="Обычный 50" xfId="684"/>
    <cellStyle name="Обычный 51" xfId="685"/>
    <cellStyle name="Обычный 52" xfId="686"/>
    <cellStyle name="Обычный 53" xfId="687"/>
    <cellStyle name="Обычный 54" xfId="688"/>
    <cellStyle name="Обычный 55" xfId="689"/>
    <cellStyle name="Обычный 56" xfId="690"/>
    <cellStyle name="Обычный 57" xfId="691"/>
    <cellStyle name="Обычный 58" xfId="692"/>
    <cellStyle name="Обычный 59" xfId="693"/>
    <cellStyle name="Обычный 6" xfId="694"/>
    <cellStyle name="Обычный 60" xfId="695"/>
    <cellStyle name="Обычный 61" xfId="696"/>
    <cellStyle name="Обычный 62" xfId="697"/>
    <cellStyle name="Обычный 63" xfId="698"/>
    <cellStyle name="Обычный 64" xfId="699"/>
    <cellStyle name="Обычный 65" xfId="700"/>
    <cellStyle name="Обычный 66" xfId="701"/>
    <cellStyle name="Обычный 67" xfId="702"/>
    <cellStyle name="Обычный 68" xfId="703"/>
    <cellStyle name="Обычный 69" xfId="704"/>
    <cellStyle name="Обычный 7" xfId="705"/>
    <cellStyle name="Обычный 7 2" xfId="706"/>
    <cellStyle name="Обычный 7 3" xfId="707"/>
    <cellStyle name="Обычный 7_5-2" xfId="708"/>
    <cellStyle name="Обычный 70" xfId="709"/>
    <cellStyle name="Обычный 71" xfId="867"/>
    <cellStyle name="Обычный 72" xfId="710"/>
    <cellStyle name="Обычный 73" xfId="711"/>
    <cellStyle name="Обычный 74" xfId="712"/>
    <cellStyle name="Обычный 75" xfId="713"/>
    <cellStyle name="Обычный 76" xfId="714"/>
    <cellStyle name="Обычный 77" xfId="715"/>
    <cellStyle name="Обычный 78" xfId="716"/>
    <cellStyle name="Обычный 79" xfId="717"/>
    <cellStyle name="Обычный 8" xfId="718"/>
    <cellStyle name="Обычный 80" xfId="719"/>
    <cellStyle name="Обычный 81" xfId="720"/>
    <cellStyle name="Обычный 82" xfId="868"/>
    <cellStyle name="Обычный 83" xfId="721"/>
    <cellStyle name="Обычный 84" xfId="722"/>
    <cellStyle name="Обычный 85" xfId="723"/>
    <cellStyle name="Обычный 86" xfId="724"/>
    <cellStyle name="Обычный 87" xfId="725"/>
    <cellStyle name="Обычный 88" xfId="870"/>
    <cellStyle name="Обычный 89" xfId="892"/>
    <cellStyle name="Обычный 9" xfId="726"/>
    <cellStyle name="Обычный 90" xfId="897"/>
    <cellStyle name="Обычный 91" xfId="727"/>
    <cellStyle name="Обычный 92" xfId="728"/>
    <cellStyle name="Обычный 93" xfId="729"/>
    <cellStyle name="Обычный 94" xfId="730"/>
    <cellStyle name="Обычный 96" xfId="731"/>
    <cellStyle name="Обычный 97" xfId="732"/>
    <cellStyle name="Обычный 98" xfId="733"/>
    <cellStyle name="Обычный 99" xfId="734"/>
    <cellStyle name="Обычный_~2332730" xfId="1406"/>
    <cellStyle name="Обычный_Копия Протокол к договору на 18225515-1" xfId="4"/>
    <cellStyle name="Обычный_Приложения ПС 750кВ Опытная" xfId="3"/>
    <cellStyle name="Параметр" xfId="735"/>
    <cellStyle name="ПеременныеСметы" xfId="736"/>
    <cellStyle name="ПеременныеСметы 2" xfId="737"/>
    <cellStyle name="ПеременныеСметы 2 2" xfId="833"/>
    <cellStyle name="ПеременныеСметы 2 2 2" xfId="852"/>
    <cellStyle name="ПеременныеСметы 2 2 2 2" xfId="882"/>
    <cellStyle name="ПеременныеСметы 2 2 2 2 2" xfId="1148"/>
    <cellStyle name="ПеременныеСметы 2 2 2 2 3" xfId="1213"/>
    <cellStyle name="ПеременныеСметы 2 2 2 2 3 2" xfId="1388"/>
    <cellStyle name="ПеременныеСметы 2 2 2 2 4" xfId="1232"/>
    <cellStyle name="ПеременныеСметы 2 2 2 2 5" xfId="987"/>
    <cellStyle name="ПеременныеСметы 2 2 2 2 6" xfId="1296"/>
    <cellStyle name="ПеременныеСметы 2 2 2 3" xfId="1123"/>
    <cellStyle name="ПеременныеСметы 2 2 2 4" xfId="1187"/>
    <cellStyle name="ПеременныеСметы 2 2 2 4 2" xfId="1364"/>
    <cellStyle name="ПеременныеСметы 2 2 2 5" xfId="1021"/>
    <cellStyle name="ПеременныеСметы 2 2 2 6" xfId="962"/>
    <cellStyle name="ПеременныеСметы 2 2 2 7" xfId="1272"/>
    <cellStyle name="ПеременныеСметы 2 2 3" xfId="1106"/>
    <cellStyle name="ПеременныеСметы 2 2 4" xfId="1168"/>
    <cellStyle name="ПеременныеСметы 2 2 4 2" xfId="1345"/>
    <cellStyle name="ПеременныеСметы 2 2 5" xfId="1042"/>
    <cellStyle name="ПеременныеСметы 2 2 6" xfId="943"/>
    <cellStyle name="ПеременныеСметы 2 2 7" xfId="1253"/>
    <cellStyle name="ПеременныеСметы 2 3" xfId="851"/>
    <cellStyle name="ПеременныеСметы 2 3 2" xfId="881"/>
    <cellStyle name="ПеременныеСметы 2 3 2 2" xfId="1147"/>
    <cellStyle name="ПеременныеСметы 2 3 2 3" xfId="1212"/>
    <cellStyle name="ПеременныеСметы 2 3 2 3 2" xfId="1387"/>
    <cellStyle name="ПеременныеСметы 2 3 2 4" xfId="1231"/>
    <cellStyle name="ПеременныеСметы 2 3 2 5" xfId="986"/>
    <cellStyle name="ПеременныеСметы 2 3 2 6" xfId="1295"/>
    <cellStyle name="ПеременныеСметы 2 3 3" xfId="1122"/>
    <cellStyle name="ПеременныеСметы 2 3 4" xfId="1186"/>
    <cellStyle name="ПеременныеСметы 2 3 4 2" xfId="1363"/>
    <cellStyle name="ПеременныеСметы 2 3 5" xfId="1022"/>
    <cellStyle name="ПеременныеСметы 2 3 6" xfId="961"/>
    <cellStyle name="ПеременныеСметы 2 3 7" xfId="1271"/>
    <cellStyle name="ПеременныеСметы 2 4" xfId="1074"/>
    <cellStyle name="ПеременныеСметы 2 5" xfId="1041"/>
    <cellStyle name="ПеременныеСметы 2 6" xfId="1087"/>
    <cellStyle name="ПеременныеСметы 2 7" xfId="923"/>
    <cellStyle name="ПеременныеСметы 3" xfId="832"/>
    <cellStyle name="ПеременныеСметы 3 2" xfId="853"/>
    <cellStyle name="ПеременныеСметы 3 2 2" xfId="883"/>
    <cellStyle name="ПеременныеСметы 3 2 2 2" xfId="1149"/>
    <cellStyle name="ПеременныеСметы 3 2 2 3" xfId="1214"/>
    <cellStyle name="ПеременныеСметы 3 2 2 3 2" xfId="1389"/>
    <cellStyle name="ПеременныеСметы 3 2 2 4" xfId="1233"/>
    <cellStyle name="ПеременныеСметы 3 2 2 5" xfId="988"/>
    <cellStyle name="ПеременныеСметы 3 2 2 6" xfId="1297"/>
    <cellStyle name="ПеременныеСметы 3 2 3" xfId="1124"/>
    <cellStyle name="ПеременныеСметы 3 2 4" xfId="1188"/>
    <cellStyle name="ПеременныеСметы 3 2 4 2" xfId="1365"/>
    <cellStyle name="ПеременныеСметы 3 2 5" xfId="1160"/>
    <cellStyle name="ПеременныеСметы 3 2 6" xfId="963"/>
    <cellStyle name="ПеременныеСметы 3 2 7" xfId="1273"/>
    <cellStyle name="ПеременныеСметы 3 3" xfId="1105"/>
    <cellStyle name="ПеременныеСметы 3 4" xfId="1167"/>
    <cellStyle name="ПеременныеСметы 3 4 2" xfId="1344"/>
    <cellStyle name="ПеременныеСметы 3 5" xfId="1043"/>
    <cellStyle name="ПеременныеСметы 3 6" xfId="942"/>
    <cellStyle name="ПеременныеСметы 3 7" xfId="1252"/>
    <cellStyle name="ПеременныеСметы 4" xfId="850"/>
    <cellStyle name="ПеременныеСметы 4 2" xfId="880"/>
    <cellStyle name="ПеременныеСметы 4 2 2" xfId="1146"/>
    <cellStyle name="ПеременныеСметы 4 2 3" xfId="1211"/>
    <cellStyle name="ПеременныеСметы 4 2 3 2" xfId="1386"/>
    <cellStyle name="ПеременныеСметы 4 2 4" xfId="1230"/>
    <cellStyle name="ПеременныеСметы 4 2 5" xfId="985"/>
    <cellStyle name="ПеременныеСметы 4 2 6" xfId="1294"/>
    <cellStyle name="ПеременныеСметы 4 3" xfId="1121"/>
    <cellStyle name="ПеременныеСметы 4 4" xfId="1185"/>
    <cellStyle name="ПеременныеСметы 4 4 2" xfId="1362"/>
    <cellStyle name="ПеременныеСметы 4 5" xfId="1023"/>
    <cellStyle name="ПеременныеСметы 4 6" xfId="960"/>
    <cellStyle name="ПеременныеСметы 4 7" xfId="1270"/>
    <cellStyle name="ПеременныеСметы 5" xfId="1073"/>
    <cellStyle name="ПеременныеСметы 6" xfId="1016"/>
    <cellStyle name="ПеременныеСметы 7" xfId="1071"/>
    <cellStyle name="ПеременныеСметы 8" xfId="922"/>
    <cellStyle name="ПеременныеСметы_Образцы КС-3 Акт осмотра, справка, ведомость,акт" xfId="738"/>
    <cellStyle name="Плохой 2" xfId="739"/>
    <cellStyle name="Пояснение 2" xfId="740"/>
    <cellStyle name="Примечание 2" xfId="741"/>
    <cellStyle name="Примечание 2 2" xfId="869"/>
    <cellStyle name="Примечание 2 2 2" xfId="1201"/>
    <cellStyle name="Примечание 2 2 2 2" xfId="1377"/>
    <cellStyle name="Примечание 2 2 3" xfId="1035"/>
    <cellStyle name="Примечание 2 2 3 2" xfId="1314"/>
    <cellStyle name="Примечание 2 2 4" xfId="976"/>
    <cellStyle name="Примечание 2 2 5" xfId="1285"/>
    <cellStyle name="Примечание 2 3" xfId="1040"/>
    <cellStyle name="Примечание 2 3 2" xfId="1316"/>
    <cellStyle name="Примечание 2 4" xfId="1052"/>
    <cellStyle name="Примечание 2 4 2" xfId="1317"/>
    <cellStyle name="Примечание 2 5" xfId="924"/>
    <cellStyle name="Примечание 2 6" xfId="906"/>
    <cellStyle name="Процентный" xfId="2" builtinId="5"/>
    <cellStyle name="Процентный 2" xfId="825"/>
    <cellStyle name="Процентный 3" xfId="871"/>
    <cellStyle name="РесСмета" xfId="742"/>
    <cellStyle name="РесСмета 2" xfId="743"/>
    <cellStyle name="РесСмета 2 2" xfId="835"/>
    <cellStyle name="РесСмета 2 2 2" xfId="856"/>
    <cellStyle name="РесСмета 2 2 2 2" xfId="886"/>
    <cellStyle name="РесСмета 2 2 2 2 2" xfId="1152"/>
    <cellStyle name="РесСмета 2 2 2 2 3" xfId="1217"/>
    <cellStyle name="РесСмета 2 2 2 2 3 2" xfId="1392"/>
    <cellStyle name="РесСмета 2 2 2 2 4" xfId="1236"/>
    <cellStyle name="РесСмета 2 2 2 2 5" xfId="991"/>
    <cellStyle name="РесСмета 2 2 2 2 6" xfId="1300"/>
    <cellStyle name="РесСмета 2 2 2 3" xfId="1127"/>
    <cellStyle name="РесСмета 2 2 2 4" xfId="1191"/>
    <cellStyle name="РесСмета 2 2 2 4 2" xfId="1368"/>
    <cellStyle name="РесСмета 2 2 2 5" xfId="1011"/>
    <cellStyle name="РесСмета 2 2 2 6" xfId="966"/>
    <cellStyle name="РесСмета 2 2 2 7" xfId="1276"/>
    <cellStyle name="РесСмета 2 2 3" xfId="1108"/>
    <cellStyle name="РесСмета 2 2 4" xfId="1170"/>
    <cellStyle name="РесСмета 2 2 4 2" xfId="1347"/>
    <cellStyle name="РесСмета 2 2 5" xfId="1031"/>
    <cellStyle name="РесСмета 2 2 6" xfId="945"/>
    <cellStyle name="РесСмета 2 2 7" xfId="1255"/>
    <cellStyle name="РесСмета 2 3" xfId="855"/>
    <cellStyle name="РесСмета 2 3 2" xfId="885"/>
    <cellStyle name="РесСмета 2 3 2 2" xfId="1151"/>
    <cellStyle name="РесСмета 2 3 2 3" xfId="1216"/>
    <cellStyle name="РесСмета 2 3 2 3 2" xfId="1391"/>
    <cellStyle name="РесСмета 2 3 2 4" xfId="1235"/>
    <cellStyle name="РесСмета 2 3 2 5" xfId="990"/>
    <cellStyle name="РесСмета 2 3 2 6" xfId="1299"/>
    <cellStyle name="РесСмета 2 3 3" xfId="1126"/>
    <cellStyle name="РесСмета 2 3 4" xfId="1190"/>
    <cellStyle name="РесСмета 2 3 4 2" xfId="1367"/>
    <cellStyle name="РесСмета 2 3 5" xfId="1012"/>
    <cellStyle name="РесСмета 2 3 6" xfId="965"/>
    <cellStyle name="РесСмета 2 3 7" xfId="1275"/>
    <cellStyle name="РесСмета 2 4" xfId="1077"/>
    <cellStyle name="РесСмета 2 5" xfId="1038"/>
    <cellStyle name="РесСмета 2 6" xfId="1090"/>
    <cellStyle name="РесСмета 2 7" xfId="926"/>
    <cellStyle name="РесСмета 3" xfId="834"/>
    <cellStyle name="РесСмета 3 2" xfId="857"/>
    <cellStyle name="РесСмета 3 2 2" xfId="887"/>
    <cellStyle name="РесСмета 3 2 2 2" xfId="1153"/>
    <cellStyle name="РесСмета 3 2 2 3" xfId="1218"/>
    <cellStyle name="РесСмета 3 2 2 3 2" xfId="1393"/>
    <cellStyle name="РесСмета 3 2 2 4" xfId="1237"/>
    <cellStyle name="РесСмета 3 2 2 5" xfId="992"/>
    <cellStyle name="РесСмета 3 2 2 6" xfId="1301"/>
    <cellStyle name="РесСмета 3 2 3" xfId="1128"/>
    <cellStyle name="РесСмета 3 2 4" xfId="1192"/>
    <cellStyle name="РесСмета 3 2 4 2" xfId="1369"/>
    <cellStyle name="РесСмета 3 2 5" xfId="1081"/>
    <cellStyle name="РесСмета 3 2 6" xfId="967"/>
    <cellStyle name="РесСмета 3 2 7" xfId="1277"/>
    <cellStyle name="РесСмета 3 3" xfId="1107"/>
    <cellStyle name="РесСмета 3 4" xfId="1169"/>
    <cellStyle name="РесСмета 3 4 2" xfId="1346"/>
    <cellStyle name="РесСмета 3 5" xfId="1019"/>
    <cellStyle name="РесСмета 3 6" xfId="944"/>
    <cellStyle name="РесСмета 3 7" xfId="1254"/>
    <cellStyle name="РесСмета 4" xfId="854"/>
    <cellStyle name="РесСмета 4 2" xfId="884"/>
    <cellStyle name="РесСмета 4 2 2" xfId="1150"/>
    <cellStyle name="РесСмета 4 2 3" xfId="1215"/>
    <cellStyle name="РесСмета 4 2 3 2" xfId="1390"/>
    <cellStyle name="РесСмета 4 2 4" xfId="1234"/>
    <cellStyle name="РесСмета 4 2 5" xfId="989"/>
    <cellStyle name="РесСмета 4 2 6" xfId="1298"/>
    <cellStyle name="РесСмета 4 3" xfId="1125"/>
    <cellStyle name="РесСмета 4 4" xfId="1189"/>
    <cellStyle name="РесСмета 4 4 2" xfId="1366"/>
    <cellStyle name="РесСмета 4 5" xfId="1202"/>
    <cellStyle name="РесСмета 4 6" xfId="964"/>
    <cellStyle name="РесСмета 4 7" xfId="1274"/>
    <cellStyle name="РесСмета 5" xfId="1076"/>
    <cellStyle name="РесСмета 6" xfId="1039"/>
    <cellStyle name="РесСмета 7" xfId="1089"/>
    <cellStyle name="РесСмета 8" xfId="925"/>
    <cellStyle name="РесСмета_Образцы КС-3 Акт осмотра, справка, ведомость,акт" xfId="744"/>
    <cellStyle name="СводкаСтоимРаб" xfId="745"/>
    <cellStyle name="СводкаСтоимРаб 2" xfId="746"/>
    <cellStyle name="СводкаСтоимРаб 2 2" xfId="837"/>
    <cellStyle name="СводкаСтоимРаб 2 2 2" xfId="860"/>
    <cellStyle name="СводкаСтоимРаб 2 2 2 2" xfId="890"/>
    <cellStyle name="СводкаСтоимРаб 2 2 2 2 2" xfId="1156"/>
    <cellStyle name="СводкаСтоимРаб 2 2 2 2 3" xfId="1221"/>
    <cellStyle name="СводкаСтоимРаб 2 2 2 2 3 2" xfId="1396"/>
    <cellStyle name="СводкаСтоимРаб 2 2 2 2 4" xfId="1240"/>
    <cellStyle name="СводкаСтоимРаб 2 2 2 2 5" xfId="995"/>
    <cellStyle name="СводкаСтоимРаб 2 2 2 2 6" xfId="1304"/>
    <cellStyle name="СводкаСтоимРаб 2 2 2 3" xfId="1131"/>
    <cellStyle name="СводкаСтоимРаб 2 2 2 4" xfId="1195"/>
    <cellStyle name="СводкаСтоимРаб 2 2 2 4 2" xfId="1372"/>
    <cellStyle name="СводкаСтоимРаб 2 2 2 5" xfId="1008"/>
    <cellStyle name="СводкаСтоимРаб 2 2 2 6" xfId="970"/>
    <cellStyle name="СводкаСтоимРаб 2 2 2 7" xfId="1280"/>
    <cellStyle name="СводкаСтоимРаб 2 2 3" xfId="1110"/>
    <cellStyle name="СводкаСтоимРаб 2 2 4" xfId="1172"/>
    <cellStyle name="СводкаСтоимРаб 2 2 4 2" xfId="1349"/>
    <cellStyle name="СводкаСтоимРаб 2 2 5" xfId="1159"/>
    <cellStyle name="СводкаСтоимРаб 2 2 6" xfId="947"/>
    <cellStyle name="СводкаСтоимРаб 2 2 7" xfId="1257"/>
    <cellStyle name="СводкаСтоимРаб 2 3" xfId="859"/>
    <cellStyle name="СводкаСтоимРаб 2 3 2" xfId="889"/>
    <cellStyle name="СводкаСтоимРаб 2 3 2 2" xfId="1155"/>
    <cellStyle name="СводкаСтоимРаб 2 3 2 3" xfId="1220"/>
    <cellStyle name="СводкаСтоимРаб 2 3 2 3 2" xfId="1395"/>
    <cellStyle name="СводкаСтоимРаб 2 3 2 4" xfId="1239"/>
    <cellStyle name="СводкаСтоимРаб 2 3 2 5" xfId="994"/>
    <cellStyle name="СводкаСтоимРаб 2 3 2 6" xfId="1303"/>
    <cellStyle name="СводкаСтоимРаб 2 3 3" xfId="1130"/>
    <cellStyle name="СводкаСтоимРаб 2 3 4" xfId="1194"/>
    <cellStyle name="СводкаСтоимРаб 2 3 4 2" xfId="1371"/>
    <cellStyle name="СводкаСтоимРаб 2 3 5" xfId="1009"/>
    <cellStyle name="СводкаСтоимРаб 2 3 6" xfId="969"/>
    <cellStyle name="СводкаСтоимРаб 2 3 7" xfId="1279"/>
    <cellStyle name="СводкаСтоимРаб 2 4" xfId="1079"/>
    <cellStyle name="СводкаСтоимРаб 2 5" xfId="1013"/>
    <cellStyle name="СводкаСтоимРаб 2 6" xfId="1158"/>
    <cellStyle name="СводкаСтоимРаб 2 7" xfId="928"/>
    <cellStyle name="СводкаСтоимРаб 3" xfId="836"/>
    <cellStyle name="СводкаСтоимРаб 3 2" xfId="861"/>
    <cellStyle name="СводкаСтоимРаб 3 2 2" xfId="891"/>
    <cellStyle name="СводкаСтоимРаб 3 2 2 2" xfId="1157"/>
    <cellStyle name="СводкаСтоимРаб 3 2 2 3" xfId="1222"/>
    <cellStyle name="СводкаСтоимРаб 3 2 2 3 2" xfId="1397"/>
    <cellStyle name="СводкаСтоимРаб 3 2 2 4" xfId="1241"/>
    <cellStyle name="СводкаСтоимРаб 3 2 2 5" xfId="996"/>
    <cellStyle name="СводкаСтоимРаб 3 2 2 6" xfId="1305"/>
    <cellStyle name="СводкаСтоимРаб 3 2 3" xfId="1132"/>
    <cellStyle name="СводкаСтоимРаб 3 2 4" xfId="1196"/>
    <cellStyle name="СводкаСтоимРаб 3 2 4 2" xfId="1373"/>
    <cellStyle name="СводкаСтоимРаб 3 2 5" xfId="1007"/>
    <cellStyle name="СводкаСтоимРаб 3 2 6" xfId="971"/>
    <cellStyle name="СводкаСтоимРаб 3 2 7" xfId="1281"/>
    <cellStyle name="СводкаСтоимРаб 3 3" xfId="1109"/>
    <cellStyle name="СводкаСтоимРаб 3 4" xfId="1171"/>
    <cellStyle name="СводкаСтоимРаб 3 4 2" xfId="1348"/>
    <cellStyle name="СводкаСтоимРаб 3 5" xfId="1030"/>
    <cellStyle name="СводкаСтоимРаб 3 6" xfId="946"/>
    <cellStyle name="СводкаСтоимРаб 3 7" xfId="1256"/>
    <cellStyle name="СводкаСтоимРаб 4" xfId="858"/>
    <cellStyle name="СводкаСтоимРаб 4 2" xfId="888"/>
    <cellStyle name="СводкаСтоимРаб 4 2 2" xfId="1154"/>
    <cellStyle name="СводкаСтоимРаб 4 2 3" xfId="1219"/>
    <cellStyle name="СводкаСтоимРаб 4 2 3 2" xfId="1394"/>
    <cellStyle name="СводкаСтоимРаб 4 2 4" xfId="1238"/>
    <cellStyle name="СводкаСтоимРаб 4 2 5" xfId="993"/>
    <cellStyle name="СводкаСтоимРаб 4 2 6" xfId="1302"/>
    <cellStyle name="СводкаСтоимРаб 4 3" xfId="1129"/>
    <cellStyle name="СводкаСтоимРаб 4 4" xfId="1193"/>
    <cellStyle name="СводкаСтоимРаб 4 4 2" xfId="1370"/>
    <cellStyle name="СводкаСтоимРаб 4 5" xfId="1010"/>
    <cellStyle name="СводкаСтоимРаб 4 6" xfId="968"/>
    <cellStyle name="СводкаСтоимРаб 4 7" xfId="1278"/>
    <cellStyle name="СводкаСтоимРаб 5" xfId="1078"/>
    <cellStyle name="СводкаСтоимРаб 6" xfId="1037"/>
    <cellStyle name="СводкаСтоимРаб 7" xfId="1137"/>
    <cellStyle name="СводкаСтоимРаб 8" xfId="927"/>
    <cellStyle name="СводкаСтоимРаб_Образцы КС-3 Акт осмотра, справка, ведомость,акт" xfId="747"/>
    <cellStyle name="СводРасч" xfId="748"/>
    <cellStyle name="Связанная ячейка 2" xfId="749"/>
    <cellStyle name="Стиль 1" xfId="51"/>
    <cellStyle name="Стиль_названий" xfId="750"/>
    <cellStyle name="Текст предупреждения 2" xfId="751"/>
    <cellStyle name="Титул" xfId="752"/>
    <cellStyle name="Титул 2" xfId="753"/>
    <cellStyle name="Титул 3" xfId="754"/>
    <cellStyle name="Титул_ВЫПОЛНЕНИЕ  АПР ПС САДОВ ИЗМЕН2" xfId="755"/>
    <cellStyle name="Тысячи [0]_06_05(см 2)рен.бл.1август" xfId="756"/>
    <cellStyle name="Тысячи_06_05(см 2)рен.бл.1август" xfId="757"/>
    <cellStyle name="Финансовый 10" xfId="758"/>
    <cellStyle name="Финансовый 10 2" xfId="759"/>
    <cellStyle name="Финансовый 11" xfId="760"/>
    <cellStyle name="Финансовый 11 2" xfId="761"/>
    <cellStyle name="Финансовый 11 3" xfId="762"/>
    <cellStyle name="Финансовый 12" xfId="763"/>
    <cellStyle name="Финансовый 12 2" xfId="764"/>
    <cellStyle name="Финансовый 13" xfId="765"/>
    <cellStyle name="Финансовый 14" xfId="766"/>
    <cellStyle name="Финансовый 15" xfId="866"/>
    <cellStyle name="Финансовый 15 2" xfId="1135"/>
    <cellStyle name="Финансовый 2" xfId="52"/>
    <cellStyle name="Финансовый 2 10" xfId="767"/>
    <cellStyle name="Финансовый 2 11" xfId="768"/>
    <cellStyle name="Финансовый 2 12" xfId="769"/>
    <cellStyle name="Финансовый 2 13" xfId="770"/>
    <cellStyle name="Финансовый 2 14" xfId="771"/>
    <cellStyle name="Финансовый 2 15" xfId="772"/>
    <cellStyle name="Финансовый 2 16" xfId="773"/>
    <cellStyle name="Финансовый 2 17" xfId="774"/>
    <cellStyle name="Финансовый 2 2" xfId="775"/>
    <cellStyle name="Финансовый 2 2 2" xfId="776"/>
    <cellStyle name="Финансовый 2 2 2 2" xfId="777"/>
    <cellStyle name="Финансовый 2 2 2 2 2" xfId="778"/>
    <cellStyle name="Финансовый 2 2 2 2 2 2" xfId="779"/>
    <cellStyle name="Финансовый 2 2 2 2 2 3" xfId="780"/>
    <cellStyle name="Финансовый 2 2 2 2 2 4" xfId="781"/>
    <cellStyle name="Финансовый 2 2 2 2 3" xfId="782"/>
    <cellStyle name="Финансовый 2 2 2 2 4" xfId="783"/>
    <cellStyle name="Финансовый 2 2 2 2 5" xfId="784"/>
    <cellStyle name="Финансовый 2 2 2 3" xfId="785"/>
    <cellStyle name="Финансовый 2 2 2 3 2" xfId="786"/>
    <cellStyle name="Финансовый 2 2 2 3 3" xfId="787"/>
    <cellStyle name="Финансовый 2 2 2 3 4" xfId="788"/>
    <cellStyle name="Финансовый 2 2 2 4" xfId="789"/>
    <cellStyle name="Финансовый 2 2 2 5" xfId="790"/>
    <cellStyle name="Финансовый 2 2 3" xfId="791"/>
    <cellStyle name="Финансовый 2 2 3 2" xfId="792"/>
    <cellStyle name="Финансовый 2 2 3 3" xfId="793"/>
    <cellStyle name="Финансовый 2 2 3 4" xfId="794"/>
    <cellStyle name="Финансовый 2 2 4" xfId="795"/>
    <cellStyle name="Финансовый 2 2 5" xfId="796"/>
    <cellStyle name="Финансовый 2 3" xfId="797"/>
    <cellStyle name="Финансовый 2 4" xfId="798"/>
    <cellStyle name="Финансовый 2 5" xfId="799"/>
    <cellStyle name="Финансовый 2 6" xfId="800"/>
    <cellStyle name="Финансовый 2 7" xfId="801"/>
    <cellStyle name="Финансовый 2 8" xfId="802"/>
    <cellStyle name="Финансовый 2 9" xfId="803"/>
    <cellStyle name="Финансовый 3" xfId="804"/>
    <cellStyle name="Финансовый 4" xfId="805"/>
    <cellStyle name="Финансовый 5" xfId="823"/>
    <cellStyle name="Финансовый 5 2" xfId="806"/>
    <cellStyle name="Финансовый 5 3" xfId="1097"/>
    <cellStyle name="Финансовый 6" xfId="807"/>
    <cellStyle name="Финансовый 7" xfId="808"/>
    <cellStyle name="Финансовый 8" xfId="809"/>
    <cellStyle name="Финансовый 8 2" xfId="810"/>
    <cellStyle name="Финансовый 8 3" xfId="811"/>
    <cellStyle name="Финансовый 9" xfId="812"/>
    <cellStyle name="Финансовый 9 2" xfId="813"/>
    <cellStyle name="Финансовый 9 3" xfId="814"/>
    <cellStyle name="Финансовый 9 4" xfId="815"/>
    <cellStyle name="Финансовый 9 5" xfId="816"/>
    <cellStyle name="Финансовый 9 6" xfId="817"/>
    <cellStyle name="Хвост" xfId="818"/>
    <cellStyle name="Хороший 2" xfId="819"/>
    <cellStyle name="Џђћ–…ќ’ќ›‰" xfId="820"/>
    <cellStyle name="Экспертиза" xfId="821"/>
  </cellStyles>
  <dxfs count="2">
    <dxf>
      <fill>
        <patternFill>
          <bgColor rgb="FFFF0000"/>
        </patternFill>
      </fill>
    </dxf>
    <dxf>
      <font>
        <color rgb="FF9C0006"/>
      </font>
      <fill>
        <patternFill>
          <bgColor rgb="FFFFC7CE"/>
        </patternFill>
      </fill>
    </dxf>
  </dxfs>
  <tableStyles count="0" defaultTableStyle="TableStyleMedium2" defaultPivotStyle="PivotStyleLight16"/>
  <colors>
    <mruColors>
      <color rgb="FFFFCDE6"/>
      <color rgb="FFD1FFA3"/>
      <color rgb="FF99FF33"/>
      <color rgb="FFFFA3D1"/>
      <color rgb="FFFF3399"/>
      <color rgb="FFD4F8F1"/>
      <color rgb="FF7DE9D4"/>
      <color rgb="FFF5EBE7"/>
      <color rgb="FF00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F-4003\!Share\Users\SoldatovSV\AppData\Local\Microsoft\Windows\INetCache\Content.Outlook\I104XV98\&#1055;&#1077;&#1088;&#1077;&#1095;&#1077;&#1085;&#1100;%20&#1087;&#1088;&#1086;&#1077;&#1082;&#1090;&#1086;&#1074;%20-%20&#1040;&#1057;&#1058;%20&#1080;%20&#1043;&#1069;&#1056;%20pre-final%20-%20&#1091;&#1090;&#1086;&#1095;&#1085;&#1077;&#1085;&#1080;&#1077;%20&#1087;&#1088;&#1086;&#1077;&#1082;&#1090;&#1086;&#1074;%20&#1085;&#1072;%202018%20&#1075;%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ы 2018"/>
      <sheetName val="Лист1"/>
    </sheetNames>
    <sheetDataSet>
      <sheetData sheetId="0" refreshError="1">
        <row r="23">
          <cell r="B23" t="str">
            <v>Переволоцкая СЭС (2 очередь)</v>
          </cell>
          <cell r="C23" t="str">
            <v>Переволоцкая СЭС-2 мощностью 10 МВт</v>
          </cell>
          <cell r="D23" t="str">
            <v>Переволоцкая СЭС-2 мощностью 10 МВт</v>
          </cell>
          <cell r="E23" t="str">
            <v>пос.Переволоцкий (Оренбург)</v>
          </cell>
          <cell r="F23" t="str">
            <v>поселок Переволоцкий</v>
          </cell>
          <cell r="G23" t="str">
            <v>Оренбургская область</v>
          </cell>
          <cell r="H23">
            <v>0</v>
          </cell>
          <cell r="I23">
            <v>0</v>
          </cell>
          <cell r="J23">
            <v>0</v>
          </cell>
          <cell r="K23">
            <v>0</v>
          </cell>
          <cell r="L23">
            <v>0</v>
          </cell>
          <cell r="M23">
            <v>0</v>
          </cell>
          <cell r="N23" t="str">
            <v>GVIE0429</v>
          </cell>
          <cell r="O23">
            <v>10</v>
          </cell>
          <cell r="P23">
            <v>43800</v>
          </cell>
        </row>
        <row r="24">
          <cell r="B24" t="str">
            <v>АСТ - Оренбургская СЭС-8</v>
          </cell>
          <cell r="C24" t="str">
            <v>Домбаровская СЭС мощностью 25 МВт</v>
          </cell>
          <cell r="D24" t="str">
            <v>Домбаровская СЭС мощностью 25 МВт</v>
          </cell>
          <cell r="E24" t="str">
            <v>с. Домбаровка(Оренбург)</v>
          </cell>
          <cell r="F24" t="str">
            <v>с. Домбаровка Домбаровского района Оренбургская обл.</v>
          </cell>
          <cell r="G24" t="str">
            <v>Оренбургская область</v>
          </cell>
          <cell r="H24">
            <v>0</v>
          </cell>
          <cell r="I24">
            <v>0</v>
          </cell>
          <cell r="J24">
            <v>0</v>
          </cell>
          <cell r="K24">
            <v>0</v>
          </cell>
          <cell r="L24">
            <v>0</v>
          </cell>
          <cell r="M24">
            <v>0</v>
          </cell>
          <cell r="N24" t="str">
            <v>GVIE0428</v>
          </cell>
          <cell r="O24">
            <v>25</v>
          </cell>
          <cell r="P24">
            <v>43800</v>
          </cell>
        </row>
        <row r="25">
          <cell r="B25" t="str">
            <v>АСТ - Омская СЭС-1</v>
          </cell>
          <cell r="C25" t="str">
            <v>Ининская СЭС 2-я очередь 15 МВт</v>
          </cell>
          <cell r="D25" t="str">
            <v>Ининская СЭС 2-я очередь 15 МВт</v>
          </cell>
          <cell r="E25" t="str">
            <v>с. Иня (Республика Алтай)</v>
          </cell>
          <cell r="F25">
            <v>0</v>
          </cell>
          <cell r="G25" t="str">
            <v>Омская область</v>
          </cell>
          <cell r="H25">
            <v>0</v>
          </cell>
          <cell r="I25">
            <v>0</v>
          </cell>
          <cell r="J25">
            <v>0</v>
          </cell>
          <cell r="K25">
            <v>0</v>
          </cell>
          <cell r="L25">
            <v>0</v>
          </cell>
          <cell r="M25">
            <v>0</v>
          </cell>
          <cell r="N25" t="str">
            <v>GVIE0427</v>
          </cell>
          <cell r="O25">
            <v>15</v>
          </cell>
          <cell r="P25">
            <v>43800</v>
          </cell>
        </row>
        <row r="26">
          <cell r="B26" t="str">
            <v>АСТ - Алтайская СЭС-7</v>
          </cell>
          <cell r="C26" t="str">
            <v>Усть-Коксинская СЭС 1-я очередь 10 МВт</v>
          </cell>
          <cell r="D26" t="str">
            <v>Усть-Коксинская СЭС 1-я очередь 10 МВт</v>
          </cell>
          <cell r="E26" t="str">
            <v>с. Амур  (Республика Алтай)</v>
          </cell>
          <cell r="F26" t="str">
            <v>Усть-Коксинский район</v>
          </cell>
          <cell r="G26" t="str">
            <v>Алтайский край</v>
          </cell>
          <cell r="H26">
            <v>0</v>
          </cell>
          <cell r="I26">
            <v>0</v>
          </cell>
          <cell r="J26">
            <v>0</v>
          </cell>
          <cell r="K26">
            <v>0</v>
          </cell>
          <cell r="L26">
            <v>0</v>
          </cell>
          <cell r="M26">
            <v>0</v>
          </cell>
          <cell r="N26" t="str">
            <v>GVIE0426</v>
          </cell>
          <cell r="O26">
            <v>10</v>
          </cell>
          <cell r="P26">
            <v>43800</v>
          </cell>
        </row>
        <row r="27">
          <cell r="B27" t="str">
            <v>АСТ - Алтайская СЭС-3</v>
          </cell>
          <cell r="C27" t="str">
            <v>Усть-Коксинская СЭС 2-я очередь 10 МВт</v>
          </cell>
          <cell r="D27" t="str">
            <v>Усть-Коксинская СЭС 2-я очередь 10 МВт</v>
          </cell>
          <cell r="E27">
            <v>0</v>
          </cell>
          <cell r="F27">
            <v>0</v>
          </cell>
          <cell r="G27" t="str">
            <v>Алтайский край</v>
          </cell>
          <cell r="H27">
            <v>0</v>
          </cell>
          <cell r="I27">
            <v>0</v>
          </cell>
          <cell r="J27">
            <v>0</v>
          </cell>
          <cell r="K27">
            <v>0</v>
          </cell>
          <cell r="L27">
            <v>0</v>
          </cell>
          <cell r="M27">
            <v>0</v>
          </cell>
          <cell r="N27" t="str">
            <v>GVIE0425</v>
          </cell>
          <cell r="O27">
            <v>10</v>
          </cell>
          <cell r="P27">
            <v>43800</v>
          </cell>
        </row>
        <row r="28">
          <cell r="B28" t="str">
            <v>АСТ - Омская СЭС-2</v>
          </cell>
          <cell r="C28" t="str">
            <v>Усть-Коксинская СЭС 3-я очередь 15 МВт</v>
          </cell>
          <cell r="D28" t="str">
            <v>Усть-Коксинская СЭС 3-я очередь 15 МВт</v>
          </cell>
          <cell r="E28">
            <v>0</v>
          </cell>
          <cell r="F28">
            <v>0</v>
          </cell>
          <cell r="G28" t="str">
            <v>Омская область</v>
          </cell>
          <cell r="H28">
            <v>0</v>
          </cell>
          <cell r="I28">
            <v>0</v>
          </cell>
          <cell r="J28">
            <v>0</v>
          </cell>
          <cell r="K28">
            <v>0</v>
          </cell>
          <cell r="L28">
            <v>0</v>
          </cell>
          <cell r="M28">
            <v>0</v>
          </cell>
          <cell r="N28" t="str">
            <v>GVIE0417</v>
          </cell>
          <cell r="O28">
            <v>15</v>
          </cell>
          <cell r="P28">
            <v>43800</v>
          </cell>
        </row>
        <row r="29">
          <cell r="B29" t="str">
            <v>Чебеньковская СЭС</v>
          </cell>
          <cell r="C29" t="str">
            <v>Яшкульская СЭС 45 МВт</v>
          </cell>
          <cell r="D29" t="str">
            <v>Яшкульская СЭС 45 МВт</v>
          </cell>
          <cell r="E29" t="str">
            <v>с. Улан Эрге (Калмыкия)</v>
          </cell>
          <cell r="F29" t="str">
            <v>Яшкульский район</v>
          </cell>
          <cell r="G29" t="str">
            <v>Оренбургская область</v>
          </cell>
          <cell r="H29">
            <v>0</v>
          </cell>
          <cell r="I29">
            <v>0</v>
          </cell>
          <cell r="J29">
            <v>0</v>
          </cell>
          <cell r="K29">
            <v>0</v>
          </cell>
          <cell r="L29">
            <v>0</v>
          </cell>
          <cell r="M29">
            <v>0</v>
          </cell>
          <cell r="N29" t="str">
            <v>GVIE0602</v>
          </cell>
          <cell r="O29">
            <v>45</v>
          </cell>
          <cell r="P29">
            <v>44166</v>
          </cell>
        </row>
        <row r="30">
          <cell r="B30" t="str">
            <v>Бурибаевская СЭС-3</v>
          </cell>
          <cell r="C30" t="str">
            <v>Бурибаевская СЭС-3 25 МВт</v>
          </cell>
          <cell r="D30" t="str">
            <v>Бурибаевская СЭС-3 25 МВт</v>
          </cell>
          <cell r="E30" t="str">
            <v xml:space="preserve"> с. Бурибай (Башкортостан), с. Акъяр (Башкортостан)</v>
          </cell>
          <cell r="F30" t="str">
            <v>Хайбуллинский район</v>
          </cell>
          <cell r="G30" t="str">
            <v>Республика Башкортостан</v>
          </cell>
          <cell r="H30">
            <v>0</v>
          </cell>
          <cell r="I30">
            <v>0</v>
          </cell>
          <cell r="J30">
            <v>0</v>
          </cell>
          <cell r="K30">
            <v>0</v>
          </cell>
          <cell r="L30">
            <v>0</v>
          </cell>
          <cell r="M30">
            <v>0</v>
          </cell>
          <cell r="N30" t="str">
            <v>GVIE0603</v>
          </cell>
          <cell r="O30">
            <v>25</v>
          </cell>
          <cell r="P30">
            <v>44166</v>
          </cell>
        </row>
        <row r="31">
          <cell r="B31" t="str">
            <v>СЭС Дергачевская</v>
          </cell>
          <cell r="C31" t="str">
            <v>Дергачёвская СЭС 25 МВт</v>
          </cell>
          <cell r="D31" t="str">
            <v>Дергачёвская СЭС 25 МВт</v>
          </cell>
          <cell r="E31" t="str">
            <v>п.г.т. Дергачи (Саратов)</v>
          </cell>
          <cell r="F31" t="str">
            <v>Дергачевский район</v>
          </cell>
          <cell r="G31" t="str">
            <v>Саратовская область</v>
          </cell>
          <cell r="H31">
            <v>0</v>
          </cell>
          <cell r="I31">
            <v>0</v>
          </cell>
          <cell r="J31">
            <v>0</v>
          </cell>
          <cell r="K31">
            <v>0</v>
          </cell>
          <cell r="L31">
            <v>0</v>
          </cell>
          <cell r="M31">
            <v>0</v>
          </cell>
          <cell r="N31" t="str">
            <v>GVIE0695</v>
          </cell>
          <cell r="O31">
            <v>25</v>
          </cell>
          <cell r="P31">
            <v>44166</v>
          </cell>
        </row>
        <row r="32">
          <cell r="B32" t="str">
            <v>СЭС Алейская</v>
          </cell>
          <cell r="C32" t="str">
            <v>Шебалинская СЭС 25 МВт</v>
          </cell>
          <cell r="D32" t="str">
            <v>Шебалинская СЭС 25 МВт</v>
          </cell>
          <cell r="E32" t="str">
            <v>с. Шебалино (Республика Алтай)</v>
          </cell>
          <cell r="F32" t="str">
            <v>Шебалинскй район</v>
          </cell>
          <cell r="G32" t="str">
            <v>Алтайский край</v>
          </cell>
          <cell r="H32">
            <v>0</v>
          </cell>
          <cell r="I32">
            <v>0</v>
          </cell>
          <cell r="J32">
            <v>0</v>
          </cell>
          <cell r="K32">
            <v>0</v>
          </cell>
          <cell r="L32">
            <v>0</v>
          </cell>
          <cell r="M32">
            <v>0</v>
          </cell>
          <cell r="N32" t="str">
            <v>GVIE0694</v>
          </cell>
          <cell r="O32">
            <v>25</v>
          </cell>
          <cell r="P32">
            <v>44166</v>
          </cell>
        </row>
        <row r="33">
          <cell r="B33" t="str">
            <v>СЭС Окино-Ключи</v>
          </cell>
          <cell r="C33" t="str">
            <v>Джидинская СЭС 35 МВт 2-я очередь 20 МВт</v>
          </cell>
          <cell r="D33" t="str">
            <v>Джидинская СЭС 35 МВт 2-я очередь 20 МВт</v>
          </cell>
          <cell r="E33" t="str">
            <v>с. Дырестуй (Бурятия)</v>
          </cell>
          <cell r="F33" t="str">
            <v>Джидинский район</v>
          </cell>
          <cell r="G33" t="str">
            <v>Республика Бурятия</v>
          </cell>
          <cell r="H33">
            <v>0</v>
          </cell>
          <cell r="I33">
            <v>0</v>
          </cell>
          <cell r="J33">
            <v>0</v>
          </cell>
          <cell r="K33">
            <v>0</v>
          </cell>
          <cell r="L33">
            <v>0</v>
          </cell>
          <cell r="M33">
            <v>0</v>
          </cell>
          <cell r="N33" t="str">
            <v>GVIE0681</v>
          </cell>
          <cell r="O33">
            <v>20</v>
          </cell>
          <cell r="P33">
            <v>44166</v>
          </cell>
        </row>
        <row r="34">
          <cell r="B34" t="str">
            <v>СЭС Нововаршавская</v>
          </cell>
          <cell r="C34" t="str">
            <v>Торейская СЭС 45 МВт 1-я очередь 15 МВт</v>
          </cell>
          <cell r="D34" t="str">
            <v>Торейская СЭС 45 МВт 1-я очередь 15 МВт</v>
          </cell>
          <cell r="E34" t="str">
            <v>с. Нижний Торей (Бурятия)</v>
          </cell>
          <cell r="F34" t="str">
            <v>Джидинский район</v>
          </cell>
          <cell r="G34" t="str">
            <v>Омская область</v>
          </cell>
          <cell r="H34">
            <v>0</v>
          </cell>
          <cell r="I34">
            <v>0</v>
          </cell>
          <cell r="J34">
            <v>0</v>
          </cell>
          <cell r="K34">
            <v>0</v>
          </cell>
          <cell r="L34">
            <v>0</v>
          </cell>
          <cell r="M34">
            <v>0</v>
          </cell>
          <cell r="N34" t="str">
            <v>GVIE0671</v>
          </cell>
          <cell r="O34">
            <v>15</v>
          </cell>
          <cell r="P34">
            <v>44166</v>
          </cell>
        </row>
        <row r="35">
          <cell r="B35" t="str">
            <v>СЭС Русская поляна</v>
          </cell>
          <cell r="C35" t="str">
            <v>Торейская СЭС 45 МВт 2-я очередь 15 МВт</v>
          </cell>
          <cell r="D35" t="str">
            <v>Торейская СЭС 45 МВт 2-я очередь 15 МВт</v>
          </cell>
          <cell r="E35" t="str">
            <v>с. Нижний Торей (Бурятия)</v>
          </cell>
          <cell r="F35" t="str">
            <v>Джидинский район</v>
          </cell>
          <cell r="G35" t="str">
            <v>Омская область</v>
          </cell>
          <cell r="H35">
            <v>0</v>
          </cell>
          <cell r="I35">
            <v>0</v>
          </cell>
          <cell r="J35">
            <v>0</v>
          </cell>
          <cell r="K35">
            <v>0</v>
          </cell>
          <cell r="L35">
            <v>0</v>
          </cell>
          <cell r="M35">
            <v>0</v>
          </cell>
          <cell r="N35" t="str">
            <v>GVIE0682</v>
          </cell>
          <cell r="O35">
            <v>15</v>
          </cell>
          <cell r="P35">
            <v>44166</v>
          </cell>
        </row>
        <row r="36">
          <cell r="B36" t="str">
            <v>СЭС Алгайская</v>
          </cell>
          <cell r="C36" t="str">
            <v>Черноземельская СЭС 50 МВт 1-я очередь 15 МВт</v>
          </cell>
          <cell r="D36" t="str">
            <v>Черноземельская СЭС 50 МВт 1-я очередь 15 МВт</v>
          </cell>
          <cell r="E36" t="str">
            <v>п. Комсомольский (Калмыкия)</v>
          </cell>
          <cell r="F36">
            <v>0</v>
          </cell>
          <cell r="G36" t="str">
            <v>Саратовская область</v>
          </cell>
          <cell r="H36">
            <v>0</v>
          </cell>
          <cell r="I36">
            <v>0</v>
          </cell>
          <cell r="J36">
            <v>0</v>
          </cell>
          <cell r="K36">
            <v>0</v>
          </cell>
          <cell r="L36">
            <v>0</v>
          </cell>
          <cell r="M36">
            <v>0</v>
          </cell>
          <cell r="N36" t="str">
            <v>GVIE0683</v>
          </cell>
          <cell r="O36">
            <v>15</v>
          </cell>
          <cell r="P36">
            <v>44531</v>
          </cell>
        </row>
        <row r="37">
          <cell r="B37" t="str">
            <v>СЭС Акъяр</v>
          </cell>
          <cell r="C37" t="str">
            <v>Черноземельская СЭС 50 МВт 2-я очередь 20 МВт</v>
          </cell>
          <cell r="D37" t="str">
            <v>Черноземельская СЭС 50 МВт 2-я очередь 20 МВт</v>
          </cell>
          <cell r="E37" t="str">
            <v>п. Комсомольский (Калмыкия)</v>
          </cell>
          <cell r="F37">
            <v>0</v>
          </cell>
          <cell r="G37" t="str">
            <v>Республика Башкортостан</v>
          </cell>
          <cell r="H37">
            <v>0</v>
          </cell>
          <cell r="I37">
            <v>0</v>
          </cell>
          <cell r="J37">
            <v>0</v>
          </cell>
          <cell r="K37">
            <v>0</v>
          </cell>
          <cell r="L37">
            <v>0</v>
          </cell>
          <cell r="M37">
            <v>0</v>
          </cell>
          <cell r="N37" t="str">
            <v>GVIE0680</v>
          </cell>
          <cell r="O37">
            <v>20</v>
          </cell>
          <cell r="P37">
            <v>44531</v>
          </cell>
        </row>
        <row r="38">
          <cell r="B38" t="str">
            <v>СЭС Удинская-1</v>
          </cell>
          <cell r="C38" t="str">
            <v>Торейская СЭС 45 МВт 3-я очередь 15 МВт</v>
          </cell>
          <cell r="D38" t="str">
            <v>Торейская СЭС 45 МВт 3-я очередь 15 МВт</v>
          </cell>
          <cell r="E38" t="str">
            <v>с. Нижний Торей (Бурятия)</v>
          </cell>
          <cell r="F38">
            <v>0</v>
          </cell>
          <cell r="G38" t="str">
            <v>Республика Бурятия</v>
          </cell>
          <cell r="H38">
            <v>0</v>
          </cell>
          <cell r="I38">
            <v>0</v>
          </cell>
          <cell r="J38">
            <v>0</v>
          </cell>
          <cell r="K38">
            <v>0</v>
          </cell>
          <cell r="L38">
            <v>0</v>
          </cell>
          <cell r="M38">
            <v>0</v>
          </cell>
          <cell r="N38" t="str">
            <v>GVIE0678</v>
          </cell>
          <cell r="O38">
            <v>15</v>
          </cell>
          <cell r="P38">
            <v>44531</v>
          </cell>
        </row>
        <row r="39">
          <cell r="B39" t="str">
            <v>СЭС Удинская-2</v>
          </cell>
          <cell r="C39" t="str">
            <v>Читинская СЭС 35 МВт 1-я очередь  15 МВт</v>
          </cell>
          <cell r="D39" t="str">
            <v>Читинская СЭС 35 МВт 1-я очередь  15 МВт</v>
          </cell>
          <cell r="E39" t="str">
            <v>г. Чита (Забайкальский край)</v>
          </cell>
          <cell r="F39">
            <v>0</v>
          </cell>
          <cell r="G39" t="str">
            <v>Республика Бурятия</v>
          </cell>
          <cell r="H39">
            <v>0</v>
          </cell>
          <cell r="I39">
            <v>0</v>
          </cell>
          <cell r="J39">
            <v>0</v>
          </cell>
          <cell r="K39">
            <v>0</v>
          </cell>
          <cell r="L39">
            <v>0</v>
          </cell>
          <cell r="M39">
            <v>0</v>
          </cell>
          <cell r="N39" t="str">
            <v>GVIE0677</v>
          </cell>
          <cell r="O39">
            <v>15</v>
          </cell>
          <cell r="P39">
            <v>44531</v>
          </cell>
        </row>
        <row r="40">
          <cell r="B40" t="str">
            <v>СЭС Агинская</v>
          </cell>
          <cell r="C40" t="str">
            <v>Читинская СЭС 35 МВт 2-я очередь  20 МВт</v>
          </cell>
          <cell r="D40" t="str">
            <v>Читинская СЭС 35 МВт 2-я очередь  20 МВт</v>
          </cell>
          <cell r="E40" t="str">
            <v>г. Чита (Забайкальский край)</v>
          </cell>
          <cell r="F40">
            <v>0</v>
          </cell>
          <cell r="G40" t="str">
            <v>Забайкальский край</v>
          </cell>
          <cell r="H40">
            <v>0</v>
          </cell>
          <cell r="I40">
            <v>0</v>
          </cell>
          <cell r="J40">
            <v>0</v>
          </cell>
          <cell r="K40">
            <v>0</v>
          </cell>
          <cell r="L40">
            <v>0</v>
          </cell>
          <cell r="M40">
            <v>0</v>
          </cell>
          <cell r="N40" t="str">
            <v>GVIE0676</v>
          </cell>
          <cell r="O40">
            <v>20</v>
          </cell>
          <cell r="P40">
            <v>44531</v>
          </cell>
        </row>
        <row r="41">
          <cell r="B41" t="str">
            <v>СЭС Городская</v>
          </cell>
          <cell r="C41" t="str">
            <v>Бугульчанская СЭС-3/СЭС Озинки</v>
          </cell>
          <cell r="D41">
            <v>0</v>
          </cell>
          <cell r="E41" t="str">
            <v>г. Ершов (Саратов)</v>
          </cell>
          <cell r="F41">
            <v>0</v>
          </cell>
          <cell r="G41" t="str">
            <v>Саратовская область</v>
          </cell>
          <cell r="H41">
            <v>0</v>
          </cell>
          <cell r="I41">
            <v>0</v>
          </cell>
          <cell r="J41">
            <v>0</v>
          </cell>
          <cell r="K41">
            <v>0</v>
          </cell>
          <cell r="L41">
            <v>0</v>
          </cell>
          <cell r="M41">
            <v>0</v>
          </cell>
          <cell r="N41" t="str">
            <v>GVIE0691</v>
          </cell>
          <cell r="O41">
            <v>20</v>
          </cell>
          <cell r="P41">
            <v>44896</v>
          </cell>
        </row>
        <row r="42">
          <cell r="B42" t="str">
            <v>СЭС Павлоградская</v>
          </cell>
          <cell r="C42" t="str">
            <v>Славгородская СЭС 35 МВт 1-я очередь 20 МВт</v>
          </cell>
          <cell r="D42" t="str">
            <v>Славгородская СЭС 35 МВт 1-я очередь 20 МВт</v>
          </cell>
          <cell r="E42" t="str">
            <v>г. Славгород (Алтайский Край)</v>
          </cell>
          <cell r="F42">
            <v>0</v>
          </cell>
          <cell r="G42" t="str">
            <v>Омская область</v>
          </cell>
          <cell r="H42">
            <v>0</v>
          </cell>
          <cell r="I42">
            <v>0</v>
          </cell>
          <cell r="J42">
            <v>0</v>
          </cell>
          <cell r="K42">
            <v>0</v>
          </cell>
          <cell r="L42">
            <v>0</v>
          </cell>
          <cell r="M42">
            <v>0</v>
          </cell>
          <cell r="N42" t="str">
            <v>GVIE0688</v>
          </cell>
          <cell r="O42">
            <v>20</v>
          </cell>
          <cell r="P42">
            <v>44896</v>
          </cell>
        </row>
        <row r="43">
          <cell r="B43" t="str">
            <v>СЭС Котово</v>
          </cell>
          <cell r="C43" t="str">
            <v>Черноземельская СЭС 50 МВт 3-я очередь 15 МВт</v>
          </cell>
          <cell r="D43" t="str">
            <v>Черноземельская СЭС 50 МВт 3-я очередь 15 МВт</v>
          </cell>
          <cell r="E43" t="str">
            <v>п. Комсомольский (Калмыкия)</v>
          </cell>
          <cell r="F43">
            <v>0</v>
          </cell>
          <cell r="G43" t="str">
            <v xml:space="preserve">Волгоградская область </v>
          </cell>
          <cell r="H43">
            <v>0</v>
          </cell>
          <cell r="I43">
            <v>0</v>
          </cell>
          <cell r="J43">
            <v>0</v>
          </cell>
          <cell r="K43">
            <v>0</v>
          </cell>
          <cell r="L43">
            <v>0</v>
          </cell>
          <cell r="M43">
            <v>0</v>
          </cell>
          <cell r="N43" t="str">
            <v>GVIE0689</v>
          </cell>
          <cell r="O43">
            <v>15</v>
          </cell>
          <cell r="P43">
            <v>44896</v>
          </cell>
        </row>
        <row r="44">
          <cell r="B44" t="str">
            <v>СЭС Шильдинская</v>
          </cell>
          <cell r="C44">
            <v>0</v>
          </cell>
          <cell r="D44" t="str">
            <v>п. Саракташ (Оренбург)</v>
          </cell>
          <cell r="E44" t="str">
            <v>п. Шильда (Оренбург)</v>
          </cell>
          <cell r="F44">
            <v>0</v>
          </cell>
          <cell r="G44" t="str">
            <v>Оренбургская область</v>
          </cell>
          <cell r="H44">
            <v>0</v>
          </cell>
          <cell r="I44">
            <v>0</v>
          </cell>
          <cell r="J44">
            <v>0</v>
          </cell>
          <cell r="K44">
            <v>0</v>
          </cell>
          <cell r="L44">
            <v>0</v>
          </cell>
          <cell r="M44">
            <v>0</v>
          </cell>
          <cell r="N44" t="str">
            <v>GVIE0679</v>
          </cell>
          <cell r="O44">
            <v>15</v>
          </cell>
          <cell r="P44">
            <v>44896</v>
          </cell>
        </row>
        <row r="45">
          <cell r="B45" t="str">
            <v>СЭС Борзя Западная</v>
          </cell>
          <cell r="C45" t="str">
            <v>Славгородская СЭС 35 МВт 1-я очередб 15 МВт</v>
          </cell>
          <cell r="D45" t="str">
            <v>Славгородская СЭС 35 МВт 1-я очередб 15 МВт</v>
          </cell>
          <cell r="E45" t="str">
            <v>г. Славгород (Алтайский Край)</v>
          </cell>
          <cell r="F45">
            <v>0</v>
          </cell>
          <cell r="G45" t="str">
            <v>Забайкальский край</v>
          </cell>
          <cell r="H45">
            <v>0</v>
          </cell>
          <cell r="I45">
            <v>0</v>
          </cell>
          <cell r="J45">
            <v>0</v>
          </cell>
          <cell r="K45">
            <v>0</v>
          </cell>
          <cell r="L45">
            <v>0</v>
          </cell>
          <cell r="M45">
            <v>0</v>
          </cell>
          <cell r="N45" t="str">
            <v>GVIE0690</v>
          </cell>
          <cell r="O45">
            <v>15</v>
          </cell>
          <cell r="P45">
            <v>44896</v>
          </cell>
        </row>
        <row r="46">
          <cell r="B46" t="str">
            <v>СЭС Курьинская</v>
          </cell>
          <cell r="C46" t="str">
            <v>Курьинская СЭС</v>
          </cell>
          <cell r="D46">
            <v>0</v>
          </cell>
          <cell r="E46" t="str">
            <v>с. Курья (Алтайский край)</v>
          </cell>
          <cell r="F46">
            <v>0</v>
          </cell>
          <cell r="G46" t="str">
            <v>Алтайский край</v>
          </cell>
          <cell r="H46">
            <v>0</v>
          </cell>
          <cell r="I46">
            <v>0</v>
          </cell>
          <cell r="J46">
            <v>0</v>
          </cell>
          <cell r="K46">
            <v>0</v>
          </cell>
          <cell r="L46">
            <v>0</v>
          </cell>
          <cell r="M46">
            <v>0</v>
          </cell>
          <cell r="N46" t="str">
            <v>GVIE0687</v>
          </cell>
          <cell r="O46">
            <v>15</v>
          </cell>
          <cell r="P46">
            <v>44896</v>
          </cell>
        </row>
      </sheetData>
      <sheetData sheetId="1"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87"/>
  <sheetViews>
    <sheetView view="pageBreakPreview" zoomScale="40" zoomScaleSheetLayoutView="40" workbookViewId="0">
      <pane xSplit="3" ySplit="2" topLeftCell="D3" activePane="bottomRight" state="frozenSplit"/>
      <selection pane="topRight" activeCell="X1" sqref="X1"/>
      <selection pane="bottomLeft" activeCell="A13" sqref="A13"/>
      <selection pane="bottomRight" sqref="A1:AJ1"/>
    </sheetView>
  </sheetViews>
  <sheetFormatPr defaultColWidth="8.6328125" defaultRowHeight="14.5" outlineLevelRow="1" outlineLevelCol="1"/>
  <cols>
    <col min="2" max="2" width="29.6328125" bestFit="1" customWidth="1"/>
    <col min="3" max="3" width="42.6328125" bestFit="1" customWidth="1"/>
    <col min="4" max="4" width="49.6328125" customWidth="1"/>
    <col min="5" max="5" width="36.6328125" customWidth="1"/>
    <col min="6" max="6" width="31.453125" customWidth="1" outlineLevel="1"/>
    <col min="7" max="7" width="25.453125" bestFit="1" customWidth="1"/>
    <col min="8" max="8" width="43.6328125" hidden="1" customWidth="1" outlineLevel="1"/>
    <col min="9" max="9" width="17" hidden="1" customWidth="1" outlineLevel="1"/>
    <col min="10" max="10" width="30" hidden="1" customWidth="1" collapsed="1"/>
    <col min="11" max="11" width="15.6328125" hidden="1" customWidth="1"/>
    <col min="12" max="13" width="15.6328125" hidden="1" customWidth="1" outlineLevel="1"/>
    <col min="14" max="14" width="11" customWidth="1" collapsed="1"/>
    <col min="15" max="15" width="11.54296875" bestFit="1" customWidth="1"/>
    <col min="16" max="16" width="14.453125" customWidth="1"/>
    <col min="17" max="17" width="10.453125" customWidth="1"/>
    <col min="18" max="19" width="14.453125" customWidth="1"/>
    <col min="20" max="21" width="15.453125" hidden="1" customWidth="1"/>
    <col min="22" max="22" width="16.453125" hidden="1" customWidth="1"/>
    <col min="23" max="23" width="18" hidden="1" customWidth="1"/>
    <col min="24" max="24" width="15.453125" hidden="1" customWidth="1"/>
    <col min="25" max="26" width="15.453125" hidden="1" customWidth="1" outlineLevel="1"/>
    <col min="27" max="27" width="15.453125" hidden="1" customWidth="1"/>
    <col min="28" max="28" width="15.6328125" hidden="1" customWidth="1" outlineLevel="1"/>
    <col min="29" max="29" width="18.36328125" hidden="1" customWidth="1"/>
    <col min="30" max="30" width="10.36328125" hidden="1" customWidth="1"/>
    <col min="31" max="31" width="9.6328125" hidden="1" customWidth="1"/>
    <col min="32" max="32" width="12.36328125" hidden="1" customWidth="1"/>
    <col min="33" max="33" width="18.6328125" hidden="1" customWidth="1"/>
    <col min="34" max="34" width="7.36328125" customWidth="1"/>
    <col min="35" max="35" width="7.453125" customWidth="1"/>
    <col min="36" max="36" width="129.453125" customWidth="1"/>
  </cols>
  <sheetData>
    <row r="1" spans="1:37" ht="21.5" thickBot="1">
      <c r="A1" s="483" t="s">
        <v>154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row>
    <row r="2" spans="1:37" ht="45" customHeight="1">
      <c r="A2" s="53" t="s">
        <v>133</v>
      </c>
      <c r="B2" s="29" t="s">
        <v>5</v>
      </c>
      <c r="C2" s="29" t="s">
        <v>99</v>
      </c>
      <c r="D2" s="29" t="s">
        <v>212</v>
      </c>
      <c r="E2" s="29" t="s">
        <v>98</v>
      </c>
      <c r="F2" s="29" t="s">
        <v>97</v>
      </c>
      <c r="G2" s="29" t="s">
        <v>19</v>
      </c>
      <c r="H2" s="29" t="s">
        <v>1</v>
      </c>
      <c r="I2" s="29" t="s">
        <v>92</v>
      </c>
      <c r="J2" s="29" t="s">
        <v>2</v>
      </c>
      <c r="K2" s="29" t="s">
        <v>96</v>
      </c>
      <c r="L2" s="29" t="s">
        <v>91</v>
      </c>
      <c r="M2" s="29" t="s">
        <v>90</v>
      </c>
      <c r="N2" s="29" t="s">
        <v>6</v>
      </c>
      <c r="O2" s="29" t="s">
        <v>7</v>
      </c>
      <c r="P2" s="29" t="s">
        <v>17</v>
      </c>
      <c r="Q2" s="29" t="s">
        <v>20</v>
      </c>
      <c r="R2" s="29" t="s">
        <v>16</v>
      </c>
      <c r="S2" s="54" t="s">
        <v>100</v>
      </c>
      <c r="T2" s="29" t="s">
        <v>21</v>
      </c>
      <c r="U2" s="29" t="s">
        <v>131</v>
      </c>
      <c r="V2" s="29" t="s">
        <v>132</v>
      </c>
      <c r="W2" s="29" t="s">
        <v>95</v>
      </c>
      <c r="X2" s="29" t="s">
        <v>0</v>
      </c>
      <c r="Y2" s="29" t="s">
        <v>102</v>
      </c>
      <c r="Z2" s="29" t="s">
        <v>101</v>
      </c>
      <c r="AA2" s="29" t="s">
        <v>103</v>
      </c>
      <c r="AB2" s="29" t="s">
        <v>104</v>
      </c>
      <c r="AC2" s="29" t="s">
        <v>105</v>
      </c>
      <c r="AD2" s="29" t="s">
        <v>33</v>
      </c>
      <c r="AE2" s="29" t="s">
        <v>31</v>
      </c>
      <c r="AF2" s="29" t="s">
        <v>32</v>
      </c>
      <c r="AG2" s="29" t="s">
        <v>94</v>
      </c>
      <c r="AH2" s="29" t="s">
        <v>93</v>
      </c>
      <c r="AI2" s="29" t="s">
        <v>18</v>
      </c>
      <c r="AJ2" s="55" t="s">
        <v>22</v>
      </c>
    </row>
    <row r="3" spans="1:37" s="68" customFormat="1" ht="45" customHeight="1">
      <c r="A3" s="486">
        <v>1</v>
      </c>
      <c r="B3" s="105" t="s">
        <v>4</v>
      </c>
      <c r="C3" s="484" t="s">
        <v>171</v>
      </c>
      <c r="D3" s="101" t="s">
        <v>198</v>
      </c>
      <c r="E3" s="102" t="s">
        <v>13</v>
      </c>
      <c r="F3" s="101" t="s">
        <v>162</v>
      </c>
      <c r="G3" s="133" t="s">
        <v>11</v>
      </c>
      <c r="H3" s="101" t="s">
        <v>126</v>
      </c>
      <c r="I3" s="100"/>
      <c r="J3" s="103" t="s">
        <v>109</v>
      </c>
      <c r="K3" s="104"/>
      <c r="L3" s="100"/>
      <c r="M3" s="100"/>
      <c r="N3" s="105" t="s">
        <v>8</v>
      </c>
      <c r="O3" s="105">
        <v>15</v>
      </c>
      <c r="P3" s="106">
        <v>43435</v>
      </c>
      <c r="Q3" s="107" t="s">
        <v>14</v>
      </c>
      <c r="R3" s="106">
        <v>44562</v>
      </c>
      <c r="S3" s="108">
        <v>2019</v>
      </c>
      <c r="T3" s="109"/>
      <c r="U3" s="109"/>
      <c r="V3" s="109"/>
      <c r="W3" s="110" t="s">
        <v>3</v>
      </c>
      <c r="X3" s="111"/>
      <c r="Y3" s="112" t="e">
        <f>EOMONTH(X3-1,3)</f>
        <v>#NUM!</v>
      </c>
      <c r="Z3" s="112" t="e">
        <f t="shared" ref="Z3" si="0">EOMONTH(MAX(Y3,V3),1)</f>
        <v>#NUM!</v>
      </c>
      <c r="AA3" s="112" t="e">
        <f t="shared" ref="AA3" si="1">EOMONTH(Z3,1)</f>
        <v>#NUM!</v>
      </c>
      <c r="AB3" s="112" t="e">
        <f t="shared" ref="AB3" si="2">MAX(EOMONTH(M3,6)-15,EOMONTH(MAX(Y3,Z3),4)-15,EOMONTH(AA3,3)-15)</f>
        <v>#NUM!</v>
      </c>
      <c r="AC3" s="112" t="e">
        <f t="shared" ref="AC3" si="3">EOMONTH(AB3,0)+1</f>
        <v>#NUM!</v>
      </c>
      <c r="AD3" s="105" t="e">
        <f>ROUND((AC3-P3)/30,0)</f>
        <v>#NUM!</v>
      </c>
      <c r="AE3" s="113" t="e">
        <f t="shared" ref="AE3" si="4">IF(AD3&gt;=12,AD3-12,0)</f>
        <v>#NUM!</v>
      </c>
      <c r="AF3" s="114" t="e">
        <f t="shared" ref="AF3" si="5">(180-AD3)/12</f>
        <v>#NUM!</v>
      </c>
      <c r="AG3" s="115"/>
      <c r="AH3" s="105" t="s">
        <v>34</v>
      </c>
      <c r="AI3" s="105">
        <v>2014</v>
      </c>
      <c r="AJ3" s="131" t="s">
        <v>150</v>
      </c>
      <c r="AK3" s="67"/>
    </row>
    <row r="4" spans="1:37" s="68" customFormat="1" ht="45" customHeight="1">
      <c r="A4" s="487"/>
      <c r="B4" s="120" t="s">
        <v>136</v>
      </c>
      <c r="C4" s="485"/>
      <c r="D4" s="117" t="s">
        <v>199</v>
      </c>
      <c r="E4" s="117" t="s">
        <v>13</v>
      </c>
      <c r="F4" s="117" t="s">
        <v>162</v>
      </c>
      <c r="G4" s="120" t="s">
        <v>13</v>
      </c>
      <c r="H4" s="117" t="s">
        <v>134</v>
      </c>
      <c r="I4" s="116"/>
      <c r="J4" s="118"/>
      <c r="K4" s="119"/>
      <c r="L4" s="116"/>
      <c r="M4" s="116"/>
      <c r="N4" s="120" t="s">
        <v>135</v>
      </c>
      <c r="O4" s="120">
        <v>23.5</v>
      </c>
      <c r="P4" s="121">
        <v>43800</v>
      </c>
      <c r="Q4" s="122" t="s">
        <v>15</v>
      </c>
      <c r="R4" s="121">
        <v>44562</v>
      </c>
      <c r="S4" s="123">
        <v>2019</v>
      </c>
      <c r="T4" s="124"/>
      <c r="U4" s="124"/>
      <c r="V4" s="124"/>
      <c r="W4" s="125"/>
      <c r="X4" s="126"/>
      <c r="Y4" s="127" t="e">
        <f>EOMONTH(X4-1,3)</f>
        <v>#NUM!</v>
      </c>
      <c r="Z4" s="127" t="e">
        <f t="shared" ref="Z4:Z33" si="6">EOMONTH(MAX(Y4,V4),1)</f>
        <v>#NUM!</v>
      </c>
      <c r="AA4" s="127" t="e">
        <f t="shared" ref="AA4:AA33" si="7">EOMONTH(Z4,1)</f>
        <v>#NUM!</v>
      </c>
      <c r="AB4" s="127" t="e">
        <f t="shared" ref="AB4:AB33" si="8">MAX(EOMONTH(M4,6)-15,EOMONTH(MAX(Y4,Z4),4)-15,EOMONTH(AA4,3)-15)</f>
        <v>#NUM!</v>
      </c>
      <c r="AC4" s="127" t="e">
        <f t="shared" ref="AC4:AC33" si="9">EOMONTH(AB4,0)+1</f>
        <v>#NUM!</v>
      </c>
      <c r="AD4" s="120" t="e">
        <f t="shared" ref="AD4:AD33" si="10">ROUND((AC4-P4)/30,0)</f>
        <v>#NUM!</v>
      </c>
      <c r="AE4" s="128" t="e">
        <f t="shared" ref="AE4:AE33" si="11">IF(AD4&gt;=12,AD4-12,0)</f>
        <v>#NUM!</v>
      </c>
      <c r="AF4" s="129" t="e">
        <f t="shared" ref="AF4:AF33" si="12">(180-AD4)/12</f>
        <v>#NUM!</v>
      </c>
      <c r="AG4" s="130"/>
      <c r="AH4" s="120" t="s">
        <v>34</v>
      </c>
      <c r="AI4" s="120">
        <v>2018</v>
      </c>
      <c r="AJ4" s="132"/>
      <c r="AK4" s="67"/>
    </row>
    <row r="5" spans="1:37" s="67" customFormat="1" ht="45" customHeight="1">
      <c r="A5" s="482">
        <v>2</v>
      </c>
      <c r="B5" s="84" t="s">
        <v>23</v>
      </c>
      <c r="C5" s="481" t="s">
        <v>172</v>
      </c>
      <c r="D5" s="95" t="s">
        <v>200</v>
      </c>
      <c r="E5" s="98" t="s">
        <v>159</v>
      </c>
      <c r="F5" s="95" t="s">
        <v>163</v>
      </c>
      <c r="G5" s="134" t="s">
        <v>26</v>
      </c>
      <c r="H5" s="481" t="s">
        <v>145</v>
      </c>
      <c r="I5" s="81"/>
      <c r="J5" s="82"/>
      <c r="K5" s="83"/>
      <c r="L5" s="81"/>
      <c r="M5" s="81"/>
      <c r="N5" s="84" t="s">
        <v>28</v>
      </c>
      <c r="O5" s="84">
        <v>15</v>
      </c>
      <c r="P5" s="85">
        <v>43435</v>
      </c>
      <c r="Q5" s="86" t="s">
        <v>14</v>
      </c>
      <c r="R5" s="85">
        <v>44562</v>
      </c>
      <c r="S5" s="87">
        <v>2019</v>
      </c>
      <c r="T5" s="88"/>
      <c r="U5" s="88"/>
      <c r="V5" s="88"/>
      <c r="W5" s="89" t="s">
        <v>3</v>
      </c>
      <c r="X5" s="90"/>
      <c r="Y5" s="91" t="e">
        <f t="shared" ref="Y5:Y33" si="13">EOMONTH(X5-1,3)</f>
        <v>#NUM!</v>
      </c>
      <c r="Z5" s="91" t="e">
        <f t="shared" si="6"/>
        <v>#NUM!</v>
      </c>
      <c r="AA5" s="91" t="e">
        <f t="shared" si="7"/>
        <v>#NUM!</v>
      </c>
      <c r="AB5" s="91" t="e">
        <f t="shared" si="8"/>
        <v>#NUM!</v>
      </c>
      <c r="AC5" s="91" t="e">
        <f t="shared" si="9"/>
        <v>#NUM!</v>
      </c>
      <c r="AD5" s="84" t="e">
        <f>ROUND((AC5-P5)/30,0)</f>
        <v>#NUM!</v>
      </c>
      <c r="AE5" s="92" t="e">
        <f t="shared" si="11"/>
        <v>#NUM!</v>
      </c>
      <c r="AF5" s="93" t="e">
        <f t="shared" si="12"/>
        <v>#NUM!</v>
      </c>
      <c r="AG5" s="94" t="s">
        <v>37</v>
      </c>
      <c r="AH5" s="84" t="s">
        <v>37</v>
      </c>
      <c r="AI5" s="84">
        <v>2014</v>
      </c>
      <c r="AJ5" s="96" t="s">
        <v>110</v>
      </c>
    </row>
    <row r="6" spans="1:37" s="67" customFormat="1" ht="45" customHeight="1">
      <c r="A6" s="482"/>
      <c r="B6" s="84" t="s">
        <v>24</v>
      </c>
      <c r="C6" s="481"/>
      <c r="D6" s="95" t="s">
        <v>201</v>
      </c>
      <c r="E6" s="98" t="s">
        <v>159</v>
      </c>
      <c r="F6" s="95" t="s">
        <v>163</v>
      </c>
      <c r="G6" s="134" t="s">
        <v>26</v>
      </c>
      <c r="H6" s="481"/>
      <c r="I6" s="81"/>
      <c r="J6" s="82"/>
      <c r="K6" s="83"/>
      <c r="L6" s="81"/>
      <c r="M6" s="81"/>
      <c r="N6" s="84" t="s">
        <v>29</v>
      </c>
      <c r="O6" s="84">
        <v>15</v>
      </c>
      <c r="P6" s="85">
        <v>43435</v>
      </c>
      <c r="Q6" s="86" t="s">
        <v>14</v>
      </c>
      <c r="R6" s="85">
        <v>44562</v>
      </c>
      <c r="S6" s="87">
        <v>2019</v>
      </c>
      <c r="T6" s="88"/>
      <c r="U6" s="88"/>
      <c r="V6" s="88"/>
      <c r="W6" s="89" t="s">
        <v>3</v>
      </c>
      <c r="X6" s="90"/>
      <c r="Y6" s="91" t="e">
        <f t="shared" si="13"/>
        <v>#NUM!</v>
      </c>
      <c r="Z6" s="91" t="e">
        <f t="shared" si="6"/>
        <v>#NUM!</v>
      </c>
      <c r="AA6" s="91" t="e">
        <f t="shared" si="7"/>
        <v>#NUM!</v>
      </c>
      <c r="AB6" s="91" t="e">
        <f t="shared" si="8"/>
        <v>#NUM!</v>
      </c>
      <c r="AC6" s="91" t="e">
        <f t="shared" si="9"/>
        <v>#NUM!</v>
      </c>
      <c r="AD6" s="84" t="e">
        <f t="shared" si="10"/>
        <v>#NUM!</v>
      </c>
      <c r="AE6" s="92" t="e">
        <f t="shared" si="11"/>
        <v>#NUM!</v>
      </c>
      <c r="AF6" s="93" t="e">
        <f t="shared" si="12"/>
        <v>#NUM!</v>
      </c>
      <c r="AG6" s="94" t="s">
        <v>37</v>
      </c>
      <c r="AH6" s="84" t="s">
        <v>37</v>
      </c>
      <c r="AI6" s="84">
        <v>2014</v>
      </c>
      <c r="AJ6" s="96" t="s">
        <v>110</v>
      </c>
    </row>
    <row r="7" spans="1:37" s="67" customFormat="1" ht="45" customHeight="1">
      <c r="A7" s="56">
        <v>3</v>
      </c>
      <c r="B7" s="50" t="s">
        <v>25</v>
      </c>
      <c r="C7" s="57" t="s">
        <v>173</v>
      </c>
      <c r="D7" s="57" t="s">
        <v>173</v>
      </c>
      <c r="E7" s="58" t="s">
        <v>12</v>
      </c>
      <c r="F7" s="57" t="s">
        <v>160</v>
      </c>
      <c r="G7" s="135" t="s">
        <v>27</v>
      </c>
      <c r="H7" s="48" t="s">
        <v>146</v>
      </c>
      <c r="I7" s="49"/>
      <c r="J7" s="48"/>
      <c r="K7" s="59"/>
      <c r="L7" s="49"/>
      <c r="M7" s="49"/>
      <c r="N7" s="50" t="s">
        <v>30</v>
      </c>
      <c r="O7" s="50">
        <v>15</v>
      </c>
      <c r="P7" s="51">
        <v>43435</v>
      </c>
      <c r="Q7" s="60" t="s">
        <v>14</v>
      </c>
      <c r="R7" s="51">
        <v>44562</v>
      </c>
      <c r="S7" s="61">
        <v>2019</v>
      </c>
      <c r="T7" s="33"/>
      <c r="U7" s="33"/>
      <c r="V7" s="33"/>
      <c r="W7" s="62" t="s">
        <v>3</v>
      </c>
      <c r="X7" s="63"/>
      <c r="Y7" s="64" t="e">
        <f t="shared" si="13"/>
        <v>#NUM!</v>
      </c>
      <c r="Z7" s="64" t="e">
        <f t="shared" si="6"/>
        <v>#NUM!</v>
      </c>
      <c r="AA7" s="64" t="e">
        <f t="shared" si="7"/>
        <v>#NUM!</v>
      </c>
      <c r="AB7" s="64" t="e">
        <f t="shared" si="8"/>
        <v>#NUM!</v>
      </c>
      <c r="AC7" s="64" t="e">
        <f t="shared" si="9"/>
        <v>#NUM!</v>
      </c>
      <c r="AD7" s="50" t="e">
        <f t="shared" si="10"/>
        <v>#NUM!</v>
      </c>
      <c r="AE7" s="65" t="e">
        <f t="shared" si="11"/>
        <v>#NUM!</v>
      </c>
      <c r="AF7" s="66" t="e">
        <f t="shared" si="12"/>
        <v>#NUM!</v>
      </c>
      <c r="AG7" s="69" t="s">
        <v>37</v>
      </c>
      <c r="AH7" s="50" t="s">
        <v>37</v>
      </c>
      <c r="AI7" s="50">
        <v>2014</v>
      </c>
      <c r="AJ7" s="52" t="s">
        <v>110</v>
      </c>
    </row>
    <row r="8" spans="1:37" s="67" customFormat="1" ht="45" customHeight="1" outlineLevel="1">
      <c r="A8" s="70">
        <v>4</v>
      </c>
      <c r="B8" s="50" t="s">
        <v>38</v>
      </c>
      <c r="C8" s="57" t="s">
        <v>174</v>
      </c>
      <c r="D8" s="57" t="s">
        <v>202</v>
      </c>
      <c r="E8" s="50" t="s">
        <v>10</v>
      </c>
      <c r="F8" s="50" t="s">
        <v>129</v>
      </c>
      <c r="G8" s="50" t="s">
        <v>10</v>
      </c>
      <c r="H8" s="57" t="s">
        <v>127</v>
      </c>
      <c r="I8" s="49"/>
      <c r="J8" s="48"/>
      <c r="K8" s="59"/>
      <c r="L8" s="49"/>
      <c r="M8" s="49"/>
      <c r="N8" s="50" t="s">
        <v>66</v>
      </c>
      <c r="O8" s="50">
        <f>VLOOKUP(B8,'[1]проекты 2018'!$B$23:$P$46,14,FALSE)</f>
        <v>10</v>
      </c>
      <c r="P8" s="51">
        <f>VLOOKUP(B8,'[1]проекты 2018'!$B$23:$P$46,15,FALSE)</f>
        <v>43800</v>
      </c>
      <c r="Q8" s="60" t="s">
        <v>15</v>
      </c>
      <c r="R8" s="51">
        <v>44562</v>
      </c>
      <c r="S8" s="61">
        <v>2019</v>
      </c>
      <c r="T8" s="33"/>
      <c r="U8" s="33"/>
      <c r="V8" s="33"/>
      <c r="W8" s="71"/>
      <c r="X8" s="72"/>
      <c r="Y8" s="64" t="e">
        <f t="shared" si="13"/>
        <v>#NUM!</v>
      </c>
      <c r="Z8" s="64" t="e">
        <f t="shared" si="6"/>
        <v>#NUM!</v>
      </c>
      <c r="AA8" s="64" t="e">
        <f t="shared" si="7"/>
        <v>#NUM!</v>
      </c>
      <c r="AB8" s="64" t="e">
        <f t="shared" si="8"/>
        <v>#NUM!</v>
      </c>
      <c r="AC8" s="64" t="e">
        <f t="shared" si="9"/>
        <v>#NUM!</v>
      </c>
      <c r="AD8" s="50" t="e">
        <f t="shared" si="10"/>
        <v>#NUM!</v>
      </c>
      <c r="AE8" s="65" t="e">
        <f t="shared" si="11"/>
        <v>#NUM!</v>
      </c>
      <c r="AF8" s="66" t="e">
        <f t="shared" si="12"/>
        <v>#NUM!</v>
      </c>
      <c r="AG8" s="73"/>
      <c r="AH8" s="50" t="s">
        <v>34</v>
      </c>
      <c r="AI8" s="50">
        <v>2015</v>
      </c>
      <c r="AJ8" s="97"/>
    </row>
    <row r="9" spans="1:37" s="67" customFormat="1" ht="45" customHeight="1" outlineLevel="1">
      <c r="A9" s="70">
        <v>5</v>
      </c>
      <c r="B9" s="50" t="s">
        <v>39</v>
      </c>
      <c r="C9" s="57" t="s">
        <v>175</v>
      </c>
      <c r="D9" s="57" t="s">
        <v>175</v>
      </c>
      <c r="E9" s="50" t="s">
        <v>10</v>
      </c>
      <c r="F9" s="57" t="s">
        <v>161</v>
      </c>
      <c r="G9" s="50" t="s">
        <v>10</v>
      </c>
      <c r="H9" s="74" t="s">
        <v>146</v>
      </c>
      <c r="I9" s="49"/>
      <c r="J9" s="48"/>
      <c r="K9" s="59"/>
      <c r="L9" s="49"/>
      <c r="M9" s="49"/>
      <c r="N9" s="50" t="s">
        <v>67</v>
      </c>
      <c r="O9" s="50">
        <f>VLOOKUP(B9,'[1]проекты 2018'!$B$23:$P$46,14,FALSE)</f>
        <v>25</v>
      </c>
      <c r="P9" s="51">
        <f>VLOOKUP(B9,'[1]проекты 2018'!$B$23:$P$46,15,FALSE)</f>
        <v>43800</v>
      </c>
      <c r="Q9" s="60" t="s">
        <v>15</v>
      </c>
      <c r="R9" s="51">
        <v>44562</v>
      </c>
      <c r="S9" s="61">
        <v>2019</v>
      </c>
      <c r="T9" s="33"/>
      <c r="U9" s="33"/>
      <c r="V9" s="33"/>
      <c r="W9" s="71"/>
      <c r="X9" s="72"/>
      <c r="Y9" s="64" t="e">
        <f t="shared" si="13"/>
        <v>#NUM!</v>
      </c>
      <c r="Z9" s="64" t="e">
        <f t="shared" si="6"/>
        <v>#NUM!</v>
      </c>
      <c r="AA9" s="64" t="e">
        <f t="shared" si="7"/>
        <v>#NUM!</v>
      </c>
      <c r="AB9" s="64" t="e">
        <f t="shared" si="8"/>
        <v>#NUM!</v>
      </c>
      <c r="AC9" s="64" t="e">
        <f t="shared" si="9"/>
        <v>#NUM!</v>
      </c>
      <c r="AD9" s="50" t="e">
        <f t="shared" si="10"/>
        <v>#NUM!</v>
      </c>
      <c r="AE9" s="65" t="e">
        <f t="shared" si="11"/>
        <v>#NUM!</v>
      </c>
      <c r="AF9" s="66" t="e">
        <f t="shared" si="12"/>
        <v>#NUM!</v>
      </c>
      <c r="AG9" s="73"/>
      <c r="AH9" s="50" t="s">
        <v>34</v>
      </c>
      <c r="AI9" s="50">
        <v>2015</v>
      </c>
      <c r="AJ9" s="97"/>
    </row>
    <row r="10" spans="1:37" s="67" customFormat="1" ht="45" customHeight="1" outlineLevel="1">
      <c r="A10" s="70">
        <v>6</v>
      </c>
      <c r="B10" s="50" t="s">
        <v>42</v>
      </c>
      <c r="C10" s="57" t="s">
        <v>176</v>
      </c>
      <c r="D10" s="57" t="s">
        <v>203</v>
      </c>
      <c r="E10" s="58" t="s">
        <v>138</v>
      </c>
      <c r="F10" s="57" t="s">
        <v>164</v>
      </c>
      <c r="G10" s="135" t="s">
        <v>63</v>
      </c>
      <c r="H10" s="74" t="s">
        <v>147</v>
      </c>
      <c r="I10" s="49"/>
      <c r="J10" s="48"/>
      <c r="K10" s="59"/>
      <c r="L10" s="49"/>
      <c r="M10" s="49"/>
      <c r="N10" s="50" t="s">
        <v>70</v>
      </c>
      <c r="O10" s="50">
        <v>15</v>
      </c>
      <c r="P10" s="51">
        <v>43800</v>
      </c>
      <c r="Q10" s="60" t="s">
        <v>15</v>
      </c>
      <c r="R10" s="51">
        <v>44562</v>
      </c>
      <c r="S10" s="61">
        <v>2019</v>
      </c>
      <c r="T10" s="33"/>
      <c r="U10" s="33"/>
      <c r="V10" s="33"/>
      <c r="W10" s="71"/>
      <c r="X10" s="72"/>
      <c r="Y10" s="64" t="e">
        <f t="shared" si="13"/>
        <v>#NUM!</v>
      </c>
      <c r="Z10" s="64" t="e">
        <f t="shared" si="6"/>
        <v>#NUM!</v>
      </c>
      <c r="AA10" s="64" t="e">
        <f t="shared" si="7"/>
        <v>#NUM!</v>
      </c>
      <c r="AB10" s="64" t="e">
        <f t="shared" si="8"/>
        <v>#NUM!</v>
      </c>
      <c r="AC10" s="64" t="e">
        <f t="shared" si="9"/>
        <v>#NUM!</v>
      </c>
      <c r="AD10" s="50" t="e">
        <f t="shared" si="10"/>
        <v>#NUM!</v>
      </c>
      <c r="AE10" s="65" t="e">
        <f t="shared" si="11"/>
        <v>#NUM!</v>
      </c>
      <c r="AF10" s="66" t="e">
        <f t="shared" si="12"/>
        <v>#NUM!</v>
      </c>
      <c r="AG10" s="73"/>
      <c r="AH10" s="50" t="s">
        <v>34</v>
      </c>
      <c r="AI10" s="50">
        <v>2015</v>
      </c>
      <c r="AJ10" s="97" t="s">
        <v>151</v>
      </c>
    </row>
    <row r="11" spans="1:37" s="67" customFormat="1" ht="45" customHeight="1" outlineLevel="1">
      <c r="A11" s="503">
        <v>7</v>
      </c>
      <c r="B11" s="142" t="s">
        <v>41</v>
      </c>
      <c r="C11" s="500" t="s">
        <v>158</v>
      </c>
      <c r="D11" s="137" t="s">
        <v>204</v>
      </c>
      <c r="E11" s="138" t="s">
        <v>138</v>
      </c>
      <c r="F11" s="137" t="s">
        <v>143</v>
      </c>
      <c r="G11" s="139" t="s">
        <v>62</v>
      </c>
      <c r="H11" s="140" t="s">
        <v>139</v>
      </c>
      <c r="I11" s="136"/>
      <c r="J11" s="140"/>
      <c r="K11" s="141"/>
      <c r="L11" s="136"/>
      <c r="M11" s="136"/>
      <c r="N11" s="142" t="s">
        <v>69</v>
      </c>
      <c r="O11" s="142">
        <v>10</v>
      </c>
      <c r="P11" s="143">
        <v>43800</v>
      </c>
      <c r="Q11" s="144" t="s">
        <v>15</v>
      </c>
      <c r="R11" s="143">
        <v>44562</v>
      </c>
      <c r="S11" s="145">
        <v>2019</v>
      </c>
      <c r="T11" s="146"/>
      <c r="U11" s="146"/>
      <c r="V11" s="146"/>
      <c r="W11" s="147"/>
      <c r="X11" s="148"/>
      <c r="Y11" s="149" t="e">
        <f t="shared" si="13"/>
        <v>#NUM!</v>
      </c>
      <c r="Z11" s="149" t="e">
        <f t="shared" si="6"/>
        <v>#NUM!</v>
      </c>
      <c r="AA11" s="149" t="e">
        <f t="shared" si="7"/>
        <v>#NUM!</v>
      </c>
      <c r="AB11" s="149" t="e">
        <f t="shared" si="8"/>
        <v>#NUM!</v>
      </c>
      <c r="AC11" s="149" t="e">
        <f t="shared" si="9"/>
        <v>#NUM!</v>
      </c>
      <c r="AD11" s="142" t="e">
        <f t="shared" si="10"/>
        <v>#NUM!</v>
      </c>
      <c r="AE11" s="150" t="e">
        <f t="shared" si="11"/>
        <v>#NUM!</v>
      </c>
      <c r="AF11" s="151" t="e">
        <f t="shared" si="12"/>
        <v>#NUM!</v>
      </c>
      <c r="AG11" s="152"/>
      <c r="AH11" s="142" t="s">
        <v>34</v>
      </c>
      <c r="AI11" s="142">
        <v>2015</v>
      </c>
      <c r="AJ11" s="236" t="s">
        <v>151</v>
      </c>
    </row>
    <row r="12" spans="1:37" s="67" customFormat="1" ht="45" customHeight="1" outlineLevel="1">
      <c r="A12" s="504"/>
      <c r="B12" s="142" t="s">
        <v>40</v>
      </c>
      <c r="C12" s="501"/>
      <c r="D12" s="137" t="s">
        <v>205</v>
      </c>
      <c r="E12" s="138" t="s">
        <v>138</v>
      </c>
      <c r="F12" s="137" t="s">
        <v>143</v>
      </c>
      <c r="G12" s="139" t="s">
        <v>62</v>
      </c>
      <c r="H12" s="140" t="s">
        <v>139</v>
      </c>
      <c r="I12" s="136"/>
      <c r="J12" s="140"/>
      <c r="K12" s="141"/>
      <c r="L12" s="136"/>
      <c r="M12" s="136"/>
      <c r="N12" s="142" t="s">
        <v>68</v>
      </c>
      <c r="O12" s="142">
        <v>10</v>
      </c>
      <c r="P12" s="143">
        <v>43800</v>
      </c>
      <c r="Q12" s="144" t="s">
        <v>15</v>
      </c>
      <c r="R12" s="143">
        <v>44562</v>
      </c>
      <c r="S12" s="145">
        <v>2019</v>
      </c>
      <c r="T12" s="146"/>
      <c r="U12" s="146"/>
      <c r="V12" s="146"/>
      <c r="W12" s="147"/>
      <c r="X12" s="148"/>
      <c r="Y12" s="149" t="e">
        <f t="shared" si="13"/>
        <v>#NUM!</v>
      </c>
      <c r="Z12" s="149" t="e">
        <f t="shared" si="6"/>
        <v>#NUM!</v>
      </c>
      <c r="AA12" s="149" t="e">
        <f t="shared" si="7"/>
        <v>#NUM!</v>
      </c>
      <c r="AB12" s="149" t="e">
        <f t="shared" si="8"/>
        <v>#NUM!</v>
      </c>
      <c r="AC12" s="149" t="e">
        <f t="shared" si="9"/>
        <v>#NUM!</v>
      </c>
      <c r="AD12" s="142" t="e">
        <f t="shared" si="10"/>
        <v>#NUM!</v>
      </c>
      <c r="AE12" s="150" t="e">
        <f t="shared" si="11"/>
        <v>#NUM!</v>
      </c>
      <c r="AF12" s="151" t="e">
        <f t="shared" si="12"/>
        <v>#NUM!</v>
      </c>
      <c r="AG12" s="152"/>
      <c r="AH12" s="142" t="s">
        <v>34</v>
      </c>
      <c r="AI12" s="142">
        <v>2015</v>
      </c>
      <c r="AJ12" s="236" t="s">
        <v>151</v>
      </c>
    </row>
    <row r="13" spans="1:37" s="67" customFormat="1" ht="45" customHeight="1" outlineLevel="1">
      <c r="A13" s="504"/>
      <c r="B13" s="142" t="s">
        <v>43</v>
      </c>
      <c r="C13" s="501"/>
      <c r="D13" s="137" t="s">
        <v>206</v>
      </c>
      <c r="E13" s="138" t="s">
        <v>138</v>
      </c>
      <c r="F13" s="137" t="s">
        <v>143</v>
      </c>
      <c r="G13" s="139" t="s">
        <v>63</v>
      </c>
      <c r="H13" s="140" t="s">
        <v>139</v>
      </c>
      <c r="I13" s="136"/>
      <c r="J13" s="140"/>
      <c r="K13" s="141"/>
      <c r="L13" s="136"/>
      <c r="M13" s="136"/>
      <c r="N13" s="142" t="s">
        <v>71</v>
      </c>
      <c r="O13" s="142">
        <v>15</v>
      </c>
      <c r="P13" s="143">
        <v>43800</v>
      </c>
      <c r="Q13" s="144" t="s">
        <v>15</v>
      </c>
      <c r="R13" s="143">
        <v>44562</v>
      </c>
      <c r="S13" s="145">
        <v>2019</v>
      </c>
      <c r="T13" s="146"/>
      <c r="U13" s="146"/>
      <c r="V13" s="146"/>
      <c r="W13" s="147"/>
      <c r="X13" s="148"/>
      <c r="Y13" s="149" t="e">
        <f t="shared" si="13"/>
        <v>#NUM!</v>
      </c>
      <c r="Z13" s="149" t="e">
        <f t="shared" si="6"/>
        <v>#NUM!</v>
      </c>
      <c r="AA13" s="149" t="e">
        <f t="shared" si="7"/>
        <v>#NUM!</v>
      </c>
      <c r="AB13" s="149" t="e">
        <f t="shared" si="8"/>
        <v>#NUM!</v>
      </c>
      <c r="AC13" s="149" t="e">
        <f t="shared" si="9"/>
        <v>#NUM!</v>
      </c>
      <c r="AD13" s="142" t="e">
        <f t="shared" si="10"/>
        <v>#NUM!</v>
      </c>
      <c r="AE13" s="150" t="e">
        <f t="shared" si="11"/>
        <v>#NUM!</v>
      </c>
      <c r="AF13" s="151" t="e">
        <f t="shared" si="12"/>
        <v>#NUM!</v>
      </c>
      <c r="AG13" s="152"/>
      <c r="AH13" s="142" t="s">
        <v>34</v>
      </c>
      <c r="AI13" s="142">
        <v>2015</v>
      </c>
      <c r="AJ13" s="236" t="s">
        <v>151</v>
      </c>
    </row>
    <row r="14" spans="1:37" s="67" customFormat="1" ht="45" customHeight="1" outlineLevel="1">
      <c r="A14" s="505"/>
      <c r="B14" s="142" t="s">
        <v>213</v>
      </c>
      <c r="C14" s="502"/>
      <c r="D14" s="137" t="s">
        <v>207</v>
      </c>
      <c r="E14" s="137" t="s">
        <v>138</v>
      </c>
      <c r="F14" s="137" t="s">
        <v>143</v>
      </c>
      <c r="G14" s="142" t="s">
        <v>138</v>
      </c>
      <c r="H14" s="140" t="s">
        <v>139</v>
      </c>
      <c r="I14" s="136"/>
      <c r="J14" s="140"/>
      <c r="K14" s="141"/>
      <c r="L14" s="136"/>
      <c r="M14" s="136"/>
      <c r="N14" s="142" t="s">
        <v>141</v>
      </c>
      <c r="O14" s="142">
        <v>5</v>
      </c>
      <c r="P14" s="143">
        <v>43800</v>
      </c>
      <c r="Q14" s="144" t="s">
        <v>15</v>
      </c>
      <c r="R14" s="143">
        <v>44562</v>
      </c>
      <c r="S14" s="145">
        <v>2019</v>
      </c>
      <c r="T14" s="146"/>
      <c r="U14" s="146"/>
      <c r="V14" s="146"/>
      <c r="W14" s="147"/>
      <c r="X14" s="148"/>
      <c r="Y14" s="149" t="e">
        <f t="shared" si="13"/>
        <v>#NUM!</v>
      </c>
      <c r="Z14" s="149" t="e">
        <f t="shared" si="6"/>
        <v>#NUM!</v>
      </c>
      <c r="AA14" s="149" t="e">
        <f t="shared" si="7"/>
        <v>#NUM!</v>
      </c>
      <c r="AB14" s="149" t="e">
        <f t="shared" si="8"/>
        <v>#NUM!</v>
      </c>
      <c r="AC14" s="149" t="e">
        <f t="shared" si="9"/>
        <v>#NUM!</v>
      </c>
      <c r="AD14" s="142" t="e">
        <f t="shared" si="10"/>
        <v>#NUM!</v>
      </c>
      <c r="AE14" s="150" t="e">
        <f t="shared" si="11"/>
        <v>#NUM!</v>
      </c>
      <c r="AF14" s="151" t="e">
        <f t="shared" si="12"/>
        <v>#NUM!</v>
      </c>
      <c r="AG14" s="152"/>
      <c r="AH14" s="142" t="s">
        <v>34</v>
      </c>
      <c r="AI14" s="142">
        <v>2018</v>
      </c>
      <c r="AJ14" s="236"/>
    </row>
    <row r="15" spans="1:37" s="67" customFormat="1" ht="45" customHeight="1" outlineLevel="1">
      <c r="A15" s="70">
        <v>8</v>
      </c>
      <c r="B15" s="50" t="s">
        <v>214</v>
      </c>
      <c r="C15" s="57" t="s">
        <v>137</v>
      </c>
      <c r="D15" s="57" t="s">
        <v>137</v>
      </c>
      <c r="E15" s="57" t="s">
        <v>165</v>
      </c>
      <c r="F15" s="57" t="s">
        <v>166</v>
      </c>
      <c r="G15" s="50" t="s">
        <v>138</v>
      </c>
      <c r="H15" s="57" t="s">
        <v>140</v>
      </c>
      <c r="I15" s="49"/>
      <c r="J15" s="48"/>
      <c r="K15" s="59"/>
      <c r="L15" s="49"/>
      <c r="M15" s="49"/>
      <c r="N15" s="50" t="s">
        <v>142</v>
      </c>
      <c r="O15" s="50">
        <v>10</v>
      </c>
      <c r="P15" s="51">
        <v>43800</v>
      </c>
      <c r="Q15" s="60" t="s">
        <v>15</v>
      </c>
      <c r="R15" s="51">
        <v>44562</v>
      </c>
      <c r="S15" s="61">
        <v>2019</v>
      </c>
      <c r="T15" s="33"/>
      <c r="U15" s="33"/>
      <c r="V15" s="33"/>
      <c r="W15" s="71"/>
      <c r="X15" s="72"/>
      <c r="Y15" s="64" t="e">
        <f t="shared" si="13"/>
        <v>#NUM!</v>
      </c>
      <c r="Z15" s="64" t="e">
        <f t="shared" si="6"/>
        <v>#NUM!</v>
      </c>
      <c r="AA15" s="64" t="e">
        <f t="shared" si="7"/>
        <v>#NUM!</v>
      </c>
      <c r="AB15" s="64" t="e">
        <f t="shared" si="8"/>
        <v>#NUM!</v>
      </c>
      <c r="AC15" s="64" t="e">
        <f t="shared" si="9"/>
        <v>#NUM!</v>
      </c>
      <c r="AD15" s="50" t="e">
        <f t="shared" si="10"/>
        <v>#NUM!</v>
      </c>
      <c r="AE15" s="65" t="e">
        <f t="shared" si="11"/>
        <v>#NUM!</v>
      </c>
      <c r="AF15" s="66" t="e">
        <f t="shared" si="12"/>
        <v>#NUM!</v>
      </c>
      <c r="AG15" s="73"/>
      <c r="AH15" s="50" t="s">
        <v>34</v>
      </c>
      <c r="AI15" s="50">
        <v>2018</v>
      </c>
      <c r="AJ15" s="97"/>
    </row>
    <row r="16" spans="1:37" s="67" customFormat="1" ht="45" customHeight="1" outlineLevel="1">
      <c r="A16" s="70">
        <v>9</v>
      </c>
      <c r="B16" s="50" t="s">
        <v>44</v>
      </c>
      <c r="C16" s="57" t="s">
        <v>155</v>
      </c>
      <c r="D16" s="57" t="s">
        <v>155</v>
      </c>
      <c r="E16" s="99" t="s">
        <v>13</v>
      </c>
      <c r="F16" s="50" t="s">
        <v>167</v>
      </c>
      <c r="G16" s="99" t="s">
        <v>10</v>
      </c>
      <c r="H16" s="48"/>
      <c r="I16" s="49"/>
      <c r="J16" s="48"/>
      <c r="K16" s="59"/>
      <c r="L16" s="49"/>
      <c r="M16" s="49"/>
      <c r="N16" s="50" t="s">
        <v>72</v>
      </c>
      <c r="O16" s="50">
        <v>45</v>
      </c>
      <c r="P16" s="51">
        <v>44166</v>
      </c>
      <c r="Q16" s="60" t="s">
        <v>15</v>
      </c>
      <c r="R16" s="51">
        <v>44927</v>
      </c>
      <c r="S16" s="61">
        <v>2020</v>
      </c>
      <c r="T16" s="75"/>
      <c r="U16" s="75"/>
      <c r="V16" s="75"/>
      <c r="W16" s="76"/>
      <c r="X16" s="77"/>
      <c r="Y16" s="64" t="e">
        <f t="shared" si="13"/>
        <v>#NUM!</v>
      </c>
      <c r="Z16" s="64" t="e">
        <f t="shared" si="6"/>
        <v>#NUM!</v>
      </c>
      <c r="AA16" s="64" t="e">
        <f t="shared" si="7"/>
        <v>#NUM!</v>
      </c>
      <c r="AB16" s="64" t="e">
        <f t="shared" si="8"/>
        <v>#NUM!</v>
      </c>
      <c r="AC16" s="64" t="e">
        <f t="shared" si="9"/>
        <v>#NUM!</v>
      </c>
      <c r="AD16" s="50" t="e">
        <f t="shared" si="10"/>
        <v>#NUM!</v>
      </c>
      <c r="AE16" s="65" t="e">
        <f t="shared" si="11"/>
        <v>#NUM!</v>
      </c>
      <c r="AF16" s="66" t="e">
        <f t="shared" si="12"/>
        <v>#NUM!</v>
      </c>
      <c r="AG16" s="78"/>
      <c r="AH16" s="50" t="s">
        <v>34</v>
      </c>
      <c r="AI16" s="50">
        <v>2017</v>
      </c>
      <c r="AJ16" s="97" t="s">
        <v>144</v>
      </c>
    </row>
    <row r="17" spans="1:36" s="67" customFormat="1" ht="45" customHeight="1" outlineLevel="1">
      <c r="A17" s="70">
        <v>10</v>
      </c>
      <c r="B17" s="50" t="s">
        <v>45</v>
      </c>
      <c r="C17" s="57" t="s">
        <v>128</v>
      </c>
      <c r="D17" s="57" t="s">
        <v>196</v>
      </c>
      <c r="E17" s="50" t="s">
        <v>9</v>
      </c>
      <c r="F17" s="50" t="s">
        <v>168</v>
      </c>
      <c r="G17" s="50" t="s">
        <v>9</v>
      </c>
      <c r="H17" s="48"/>
      <c r="I17" s="49"/>
      <c r="J17" s="48"/>
      <c r="K17" s="59"/>
      <c r="L17" s="49"/>
      <c r="M17" s="49"/>
      <c r="N17" s="50" t="s">
        <v>73</v>
      </c>
      <c r="O17" s="50">
        <v>25</v>
      </c>
      <c r="P17" s="51">
        <v>44166</v>
      </c>
      <c r="Q17" s="60" t="s">
        <v>15</v>
      </c>
      <c r="R17" s="51">
        <v>44927</v>
      </c>
      <c r="S17" s="61">
        <v>2020</v>
      </c>
      <c r="T17" s="75"/>
      <c r="U17" s="75"/>
      <c r="V17" s="75"/>
      <c r="W17" s="76"/>
      <c r="X17" s="77"/>
      <c r="Y17" s="64" t="e">
        <f t="shared" si="13"/>
        <v>#NUM!</v>
      </c>
      <c r="Z17" s="64" t="e">
        <f t="shared" si="6"/>
        <v>#NUM!</v>
      </c>
      <c r="AA17" s="64" t="e">
        <f t="shared" si="7"/>
        <v>#NUM!</v>
      </c>
      <c r="AB17" s="64" t="e">
        <f t="shared" si="8"/>
        <v>#NUM!</v>
      </c>
      <c r="AC17" s="64" t="e">
        <f t="shared" si="9"/>
        <v>#NUM!</v>
      </c>
      <c r="AD17" s="50" t="e">
        <f t="shared" si="10"/>
        <v>#NUM!</v>
      </c>
      <c r="AE17" s="65" t="e">
        <f t="shared" si="11"/>
        <v>#NUM!</v>
      </c>
      <c r="AF17" s="66" t="e">
        <f t="shared" si="12"/>
        <v>#NUM!</v>
      </c>
      <c r="AG17" s="78"/>
      <c r="AH17" s="50" t="s">
        <v>34</v>
      </c>
      <c r="AI17" s="50">
        <v>2017</v>
      </c>
      <c r="AJ17" s="97"/>
    </row>
    <row r="18" spans="1:36" s="67" customFormat="1" ht="45" customHeight="1" outlineLevel="1">
      <c r="A18" s="70">
        <v>11</v>
      </c>
      <c r="B18" s="50" t="s">
        <v>47</v>
      </c>
      <c r="C18" s="57" t="s">
        <v>156</v>
      </c>
      <c r="D18" s="57" t="s">
        <v>197</v>
      </c>
      <c r="E18" s="99" t="s">
        <v>178</v>
      </c>
      <c r="F18" s="50" t="s">
        <v>177</v>
      </c>
      <c r="G18" s="135" t="s">
        <v>62</v>
      </c>
      <c r="H18" s="48"/>
      <c r="I18" s="49"/>
      <c r="J18" s="48"/>
      <c r="K18" s="59"/>
      <c r="L18" s="49"/>
      <c r="M18" s="49"/>
      <c r="N18" s="50" t="s">
        <v>75</v>
      </c>
      <c r="O18" s="50">
        <v>25</v>
      </c>
      <c r="P18" s="51">
        <v>44166</v>
      </c>
      <c r="Q18" s="60" t="s">
        <v>15</v>
      </c>
      <c r="R18" s="51">
        <v>44927</v>
      </c>
      <c r="S18" s="61">
        <v>2020</v>
      </c>
      <c r="T18" s="75"/>
      <c r="U18" s="75"/>
      <c r="V18" s="75"/>
      <c r="W18" s="76"/>
      <c r="X18" s="77"/>
      <c r="Y18" s="64" t="e">
        <f>EOMONTH(X18-1,3)</f>
        <v>#NUM!</v>
      </c>
      <c r="Z18" s="64" t="e">
        <f>EOMONTH(MAX(Y18,V18),1)</f>
        <v>#NUM!</v>
      </c>
      <c r="AA18" s="64" t="e">
        <f>EOMONTH(Z18,1)</f>
        <v>#NUM!</v>
      </c>
      <c r="AB18" s="64" t="e">
        <f>MAX(EOMONTH(M18,6)-15,EOMONTH(MAX(Y18,Z18),4)-15,EOMONTH(AA18,3)-15)</f>
        <v>#NUM!</v>
      </c>
      <c r="AC18" s="64" t="e">
        <f>EOMONTH(AB18,0)+1</f>
        <v>#NUM!</v>
      </c>
      <c r="AD18" s="50" t="e">
        <f>ROUND((AC18-P18)/30,0)</f>
        <v>#NUM!</v>
      </c>
      <c r="AE18" s="65" t="e">
        <f>IF(AD18&gt;=12,AD18-12,0)</f>
        <v>#NUM!</v>
      </c>
      <c r="AF18" s="66" t="e">
        <f>(180-AD18)/12</f>
        <v>#NUM!</v>
      </c>
      <c r="AG18" s="78"/>
      <c r="AH18" s="50" t="s">
        <v>37</v>
      </c>
      <c r="AI18" s="50">
        <v>2017</v>
      </c>
      <c r="AJ18" s="97" t="s">
        <v>151</v>
      </c>
    </row>
    <row r="19" spans="1:36" s="67" customFormat="1" ht="45" customHeight="1" outlineLevel="1">
      <c r="A19" s="491">
        <v>12</v>
      </c>
      <c r="B19" s="170" t="s">
        <v>48</v>
      </c>
      <c r="C19" s="488" t="s">
        <v>180</v>
      </c>
      <c r="D19" s="171" t="s">
        <v>181</v>
      </c>
      <c r="E19" s="170" t="s">
        <v>12</v>
      </c>
      <c r="F19" s="171" t="s">
        <v>179</v>
      </c>
      <c r="G19" s="172" t="s">
        <v>12</v>
      </c>
      <c r="H19" s="173"/>
      <c r="I19" s="174"/>
      <c r="J19" s="173"/>
      <c r="K19" s="175"/>
      <c r="L19" s="174"/>
      <c r="M19" s="174"/>
      <c r="N19" s="170" t="s">
        <v>76</v>
      </c>
      <c r="O19" s="170">
        <v>20</v>
      </c>
      <c r="P19" s="176">
        <v>44166</v>
      </c>
      <c r="Q19" s="177" t="s">
        <v>15</v>
      </c>
      <c r="R19" s="176">
        <v>44927</v>
      </c>
      <c r="S19" s="178">
        <v>2020</v>
      </c>
      <c r="T19" s="179"/>
      <c r="U19" s="179"/>
      <c r="V19" s="179"/>
      <c r="W19" s="180"/>
      <c r="X19" s="181"/>
      <c r="Y19" s="182" t="e">
        <f>EOMONTH(X19-1,3)</f>
        <v>#NUM!</v>
      </c>
      <c r="Z19" s="182" t="e">
        <f>EOMONTH(MAX(Y19,V19),1)</f>
        <v>#NUM!</v>
      </c>
      <c r="AA19" s="182" t="e">
        <f>EOMONTH(Z19,1)</f>
        <v>#NUM!</v>
      </c>
      <c r="AB19" s="182" t="e">
        <f>MAX(EOMONTH(M19,6)-15,EOMONTH(MAX(Y19,Z19),4)-15,EOMONTH(AA19,3)-15)</f>
        <v>#NUM!</v>
      </c>
      <c r="AC19" s="182" t="e">
        <f>EOMONTH(AB19,0)+1</f>
        <v>#NUM!</v>
      </c>
      <c r="AD19" s="170" t="e">
        <f>ROUND((AC19-P19)/30,0)</f>
        <v>#NUM!</v>
      </c>
      <c r="AE19" s="183" t="e">
        <f>IF(AD19&gt;=12,AD19-12,0)</f>
        <v>#NUM!</v>
      </c>
      <c r="AF19" s="184" t="e">
        <f>(180-AD19)/12</f>
        <v>#NUM!</v>
      </c>
      <c r="AG19" s="172"/>
      <c r="AH19" s="170" t="s">
        <v>37</v>
      </c>
      <c r="AI19" s="170">
        <v>2017</v>
      </c>
      <c r="AJ19" s="238"/>
    </row>
    <row r="20" spans="1:36" s="67" customFormat="1" ht="45" customHeight="1" outlineLevel="1">
      <c r="A20" s="492"/>
      <c r="B20" s="170" t="s">
        <v>49</v>
      </c>
      <c r="C20" s="489"/>
      <c r="D20" s="171" t="s">
        <v>182</v>
      </c>
      <c r="E20" s="185" t="s">
        <v>12</v>
      </c>
      <c r="F20" s="171" t="s">
        <v>179</v>
      </c>
      <c r="G20" s="186" t="s">
        <v>63</v>
      </c>
      <c r="H20" s="173"/>
      <c r="I20" s="174"/>
      <c r="J20" s="173"/>
      <c r="K20" s="175"/>
      <c r="L20" s="174"/>
      <c r="M20" s="174"/>
      <c r="N20" s="170" t="s">
        <v>77</v>
      </c>
      <c r="O20" s="170">
        <v>15</v>
      </c>
      <c r="P20" s="176">
        <v>44166</v>
      </c>
      <c r="Q20" s="177" t="s">
        <v>15</v>
      </c>
      <c r="R20" s="176">
        <v>44927</v>
      </c>
      <c r="S20" s="178">
        <v>2020</v>
      </c>
      <c r="T20" s="179"/>
      <c r="U20" s="179"/>
      <c r="V20" s="179"/>
      <c r="W20" s="180"/>
      <c r="X20" s="181"/>
      <c r="Y20" s="182" t="e">
        <f>EOMONTH(X20-1,3)</f>
        <v>#NUM!</v>
      </c>
      <c r="Z20" s="182" t="e">
        <f>EOMONTH(MAX(Y20,V20),1)</f>
        <v>#NUM!</v>
      </c>
      <c r="AA20" s="182" t="e">
        <f>EOMONTH(Z20,1)</f>
        <v>#NUM!</v>
      </c>
      <c r="AB20" s="182" t="e">
        <f>MAX(EOMONTH(M20,6)-15,EOMONTH(MAX(Y20,Z20),4)-15,EOMONTH(AA20,3)-15)</f>
        <v>#NUM!</v>
      </c>
      <c r="AC20" s="182" t="e">
        <f>EOMONTH(AB20,0)+1</f>
        <v>#NUM!</v>
      </c>
      <c r="AD20" s="170" t="e">
        <f>ROUND((AC20-P20)/30,0)</f>
        <v>#NUM!</v>
      </c>
      <c r="AE20" s="183" t="e">
        <f>IF(AD20&gt;=12,AD20-12,0)</f>
        <v>#NUM!</v>
      </c>
      <c r="AF20" s="184" t="e">
        <f>(180-AD20)/12</f>
        <v>#NUM!</v>
      </c>
      <c r="AG20" s="172"/>
      <c r="AH20" s="170" t="s">
        <v>37</v>
      </c>
      <c r="AI20" s="170">
        <v>2017</v>
      </c>
      <c r="AJ20" s="238" t="s">
        <v>151</v>
      </c>
    </row>
    <row r="21" spans="1:36" s="67" customFormat="1" ht="45" customHeight="1" outlineLevel="1">
      <c r="A21" s="493"/>
      <c r="B21" s="170" t="s">
        <v>50</v>
      </c>
      <c r="C21" s="490"/>
      <c r="D21" s="171" t="s">
        <v>183</v>
      </c>
      <c r="E21" s="185" t="s">
        <v>12</v>
      </c>
      <c r="F21" s="171" t="s">
        <v>179</v>
      </c>
      <c r="G21" s="186" t="s">
        <v>63</v>
      </c>
      <c r="H21" s="173"/>
      <c r="I21" s="174"/>
      <c r="J21" s="173"/>
      <c r="K21" s="175"/>
      <c r="L21" s="174"/>
      <c r="M21" s="174"/>
      <c r="N21" s="170" t="s">
        <v>78</v>
      </c>
      <c r="O21" s="170">
        <v>15</v>
      </c>
      <c r="P21" s="176">
        <v>44166</v>
      </c>
      <c r="Q21" s="177" t="s">
        <v>15</v>
      </c>
      <c r="R21" s="176">
        <v>44927</v>
      </c>
      <c r="S21" s="178">
        <v>2020</v>
      </c>
      <c r="T21" s="179"/>
      <c r="U21" s="179"/>
      <c r="V21" s="179"/>
      <c r="W21" s="180"/>
      <c r="X21" s="181"/>
      <c r="Y21" s="182" t="e">
        <f>EOMONTH(X21-1,3)</f>
        <v>#NUM!</v>
      </c>
      <c r="Z21" s="182" t="e">
        <f>EOMONTH(MAX(Y21,V21),1)</f>
        <v>#NUM!</v>
      </c>
      <c r="AA21" s="182" t="e">
        <f>EOMONTH(Z21,1)</f>
        <v>#NUM!</v>
      </c>
      <c r="AB21" s="182" t="e">
        <f>MAX(EOMONTH(M21,6)-15,EOMONTH(MAX(Y21,Z21),4)-15,EOMONTH(AA21,3)-15)</f>
        <v>#NUM!</v>
      </c>
      <c r="AC21" s="182" t="e">
        <f>EOMONTH(AB21,0)+1</f>
        <v>#NUM!</v>
      </c>
      <c r="AD21" s="170" t="e">
        <f>ROUND((AC21-P21)/30,0)</f>
        <v>#NUM!</v>
      </c>
      <c r="AE21" s="183" t="e">
        <f>IF(AD21&gt;=12,AD21-12,0)</f>
        <v>#NUM!</v>
      </c>
      <c r="AF21" s="184" t="e">
        <f>(180-AD21)/12</f>
        <v>#NUM!</v>
      </c>
      <c r="AG21" s="172"/>
      <c r="AH21" s="170" t="s">
        <v>37</v>
      </c>
      <c r="AI21" s="170">
        <v>2017</v>
      </c>
      <c r="AJ21" s="238" t="s">
        <v>151</v>
      </c>
    </row>
    <row r="22" spans="1:36" s="67" customFormat="1" ht="45" customHeight="1" outlineLevel="1">
      <c r="A22" s="517">
        <v>13</v>
      </c>
      <c r="B22" s="153" t="s">
        <v>46</v>
      </c>
      <c r="C22" s="514" t="s">
        <v>169</v>
      </c>
      <c r="D22" s="154" t="s">
        <v>215</v>
      </c>
      <c r="E22" s="153" t="s">
        <v>11</v>
      </c>
      <c r="F22" s="153" t="s">
        <v>170</v>
      </c>
      <c r="G22" s="153" t="s">
        <v>11</v>
      </c>
      <c r="H22" s="155"/>
      <c r="I22" s="156"/>
      <c r="J22" s="155"/>
      <c r="K22" s="157"/>
      <c r="L22" s="156"/>
      <c r="M22" s="156"/>
      <c r="N22" s="153" t="s">
        <v>74</v>
      </c>
      <c r="O22" s="153">
        <v>25</v>
      </c>
      <c r="P22" s="158">
        <v>44166</v>
      </c>
      <c r="Q22" s="159" t="s">
        <v>15</v>
      </c>
      <c r="R22" s="158">
        <v>44927</v>
      </c>
      <c r="S22" s="160">
        <v>2020</v>
      </c>
      <c r="T22" s="161"/>
      <c r="U22" s="161"/>
      <c r="V22" s="161"/>
      <c r="W22" s="162"/>
      <c r="X22" s="163"/>
      <c r="Y22" s="164" t="e">
        <f t="shared" si="13"/>
        <v>#NUM!</v>
      </c>
      <c r="Z22" s="164" t="e">
        <f t="shared" si="6"/>
        <v>#NUM!</v>
      </c>
      <c r="AA22" s="164" t="e">
        <f t="shared" si="7"/>
        <v>#NUM!</v>
      </c>
      <c r="AB22" s="164" t="e">
        <f t="shared" si="8"/>
        <v>#NUM!</v>
      </c>
      <c r="AC22" s="164" t="e">
        <f t="shared" si="9"/>
        <v>#NUM!</v>
      </c>
      <c r="AD22" s="153" t="e">
        <f t="shared" si="10"/>
        <v>#NUM!</v>
      </c>
      <c r="AE22" s="165" t="e">
        <f t="shared" si="11"/>
        <v>#NUM!</v>
      </c>
      <c r="AF22" s="166" t="e">
        <f t="shared" si="12"/>
        <v>#NUM!</v>
      </c>
      <c r="AG22" s="167"/>
      <c r="AH22" s="153" t="s">
        <v>37</v>
      </c>
      <c r="AI22" s="153">
        <v>2017</v>
      </c>
      <c r="AJ22" s="237"/>
    </row>
    <row r="23" spans="1:36" s="67" customFormat="1" ht="45" customHeight="1" outlineLevel="1">
      <c r="A23" s="518"/>
      <c r="B23" s="153" t="s">
        <v>51</v>
      </c>
      <c r="C23" s="515"/>
      <c r="D23" s="154" t="s">
        <v>216</v>
      </c>
      <c r="E23" s="153" t="s">
        <v>11</v>
      </c>
      <c r="F23" s="153" t="s">
        <v>170</v>
      </c>
      <c r="G23" s="153" t="s">
        <v>11</v>
      </c>
      <c r="H23" s="155"/>
      <c r="I23" s="156"/>
      <c r="J23" s="155"/>
      <c r="K23" s="157"/>
      <c r="L23" s="156"/>
      <c r="M23" s="156"/>
      <c r="N23" s="153" t="s">
        <v>79</v>
      </c>
      <c r="O23" s="153">
        <v>15</v>
      </c>
      <c r="P23" s="158">
        <v>44531</v>
      </c>
      <c r="Q23" s="159" t="s">
        <v>15</v>
      </c>
      <c r="R23" s="158">
        <v>45292</v>
      </c>
      <c r="S23" s="168" t="s">
        <v>148</v>
      </c>
      <c r="T23" s="169"/>
      <c r="U23" s="169"/>
      <c r="V23" s="169"/>
      <c r="W23" s="162"/>
      <c r="X23" s="163"/>
      <c r="Y23" s="164" t="e">
        <f>EOMONTH(X23-1,3)</f>
        <v>#NUM!</v>
      </c>
      <c r="Z23" s="164" t="e">
        <f>EOMONTH(MAX(Y23,V23),1)</f>
        <v>#NUM!</v>
      </c>
      <c r="AA23" s="164" t="e">
        <f>EOMONTH(Z23,1)</f>
        <v>#NUM!</v>
      </c>
      <c r="AB23" s="164" t="e">
        <f>MAX(EOMONTH(M23,6)-15,EOMONTH(MAX(Y23,Z23),4)-15,EOMONTH(AA23,3)-15)</f>
        <v>#NUM!</v>
      </c>
      <c r="AC23" s="164" t="e">
        <f>EOMONTH(AB23,0)+1</f>
        <v>#NUM!</v>
      </c>
      <c r="AD23" s="153" t="e">
        <f>ROUND((AC23-P23)/30,0)</f>
        <v>#NUM!</v>
      </c>
      <c r="AE23" s="165" t="e">
        <f>IF(AD23&gt;=12,AD23-12,0)</f>
        <v>#NUM!</v>
      </c>
      <c r="AF23" s="166" t="e">
        <f>(180-AD23)/12</f>
        <v>#NUM!</v>
      </c>
      <c r="AG23" s="167"/>
      <c r="AH23" s="153" t="s">
        <v>37</v>
      </c>
      <c r="AI23" s="153">
        <v>2017</v>
      </c>
      <c r="AJ23" s="237"/>
    </row>
    <row r="24" spans="1:36" s="67" customFormat="1" ht="45" customHeight="1" outlineLevel="1">
      <c r="A24" s="519"/>
      <c r="B24" s="153" t="s">
        <v>56</v>
      </c>
      <c r="C24" s="516"/>
      <c r="D24" s="153" t="s">
        <v>217</v>
      </c>
      <c r="E24" s="153" t="s">
        <v>11</v>
      </c>
      <c r="F24" s="153" t="s">
        <v>170</v>
      </c>
      <c r="G24" s="167" t="s">
        <v>11</v>
      </c>
      <c r="H24" s="155"/>
      <c r="I24" s="156"/>
      <c r="J24" s="155"/>
      <c r="K24" s="157"/>
      <c r="L24" s="156"/>
      <c r="M24" s="156"/>
      <c r="N24" s="153" t="s">
        <v>84</v>
      </c>
      <c r="O24" s="153">
        <v>20</v>
      </c>
      <c r="P24" s="158">
        <v>44896</v>
      </c>
      <c r="Q24" s="159" t="s">
        <v>15</v>
      </c>
      <c r="R24" s="158">
        <v>45658</v>
      </c>
      <c r="S24" s="168" t="s">
        <v>149</v>
      </c>
      <c r="T24" s="169"/>
      <c r="U24" s="169"/>
      <c r="V24" s="169"/>
      <c r="W24" s="162"/>
      <c r="X24" s="163"/>
      <c r="Y24" s="164" t="e">
        <f>EOMONTH(X24-1,3)</f>
        <v>#NUM!</v>
      </c>
      <c r="Z24" s="164" t="e">
        <f>EOMONTH(MAX(Y24,V24),1)</f>
        <v>#NUM!</v>
      </c>
      <c r="AA24" s="164" t="e">
        <f>EOMONTH(Z24,1)</f>
        <v>#NUM!</v>
      </c>
      <c r="AB24" s="164" t="e">
        <f>MAX(EOMONTH(M24,6)-15,EOMONTH(MAX(Y24,Z24),4)-15,EOMONTH(AA24,3)-15)</f>
        <v>#NUM!</v>
      </c>
      <c r="AC24" s="164" t="e">
        <f>EOMONTH(AB24,0)+1</f>
        <v>#NUM!</v>
      </c>
      <c r="AD24" s="153" t="e">
        <f>ROUND((AC24-P24)/30,0)</f>
        <v>#NUM!</v>
      </c>
      <c r="AE24" s="165" t="e">
        <f>IF(AD24&gt;=12,AD24-12,0)</f>
        <v>#NUM!</v>
      </c>
      <c r="AF24" s="166" t="e">
        <f>(180-AD24)/12</f>
        <v>#NUM!</v>
      </c>
      <c r="AG24" s="167"/>
      <c r="AH24" s="153" t="s">
        <v>37</v>
      </c>
      <c r="AI24" s="153">
        <v>2017</v>
      </c>
      <c r="AJ24" s="237"/>
    </row>
    <row r="25" spans="1:36" s="67" customFormat="1" ht="45" customHeight="1" outlineLevel="1">
      <c r="A25" s="510">
        <v>14</v>
      </c>
      <c r="B25" s="204" t="s">
        <v>53</v>
      </c>
      <c r="C25" s="506" t="s">
        <v>189</v>
      </c>
      <c r="D25" s="205" t="s">
        <v>208</v>
      </c>
      <c r="E25" s="204" t="s">
        <v>12</v>
      </c>
      <c r="F25" s="204" t="s">
        <v>130</v>
      </c>
      <c r="G25" s="206" t="s">
        <v>12</v>
      </c>
      <c r="H25" s="207"/>
      <c r="I25" s="208"/>
      <c r="J25" s="207"/>
      <c r="K25" s="209"/>
      <c r="L25" s="208"/>
      <c r="M25" s="208"/>
      <c r="N25" s="204" t="s">
        <v>81</v>
      </c>
      <c r="O25" s="204">
        <v>15</v>
      </c>
      <c r="P25" s="210">
        <v>44531</v>
      </c>
      <c r="Q25" s="211" t="s">
        <v>15</v>
      </c>
      <c r="R25" s="210">
        <v>45292</v>
      </c>
      <c r="S25" s="212" t="s">
        <v>148</v>
      </c>
      <c r="T25" s="213"/>
      <c r="U25" s="213"/>
      <c r="V25" s="213"/>
      <c r="W25" s="214"/>
      <c r="X25" s="215"/>
      <c r="Y25" s="216" t="e">
        <f>EOMONTH(X25-1,3)</f>
        <v>#NUM!</v>
      </c>
      <c r="Z25" s="216" t="e">
        <f>EOMONTH(MAX(Y25,V25),1)</f>
        <v>#NUM!</v>
      </c>
      <c r="AA25" s="216" t="e">
        <f>EOMONTH(Z25,1)</f>
        <v>#NUM!</v>
      </c>
      <c r="AB25" s="216" t="e">
        <f>MAX(EOMONTH(M25,6)-15,EOMONTH(MAX(Y25,Z25),4)-15,EOMONTH(AA25,3)-15)</f>
        <v>#NUM!</v>
      </c>
      <c r="AC25" s="216" t="e">
        <f>EOMONTH(AB25,0)+1</f>
        <v>#NUM!</v>
      </c>
      <c r="AD25" s="204" t="e">
        <f>ROUND((AC25-P25)/30,0)</f>
        <v>#NUM!</v>
      </c>
      <c r="AE25" s="217" t="e">
        <f>IF(AD25&gt;=12,AD25-12,0)</f>
        <v>#NUM!</v>
      </c>
      <c r="AF25" s="218" t="e">
        <f>(180-AD25)/12</f>
        <v>#NUM!</v>
      </c>
      <c r="AG25" s="206"/>
      <c r="AH25" s="204" t="s">
        <v>37</v>
      </c>
      <c r="AI25" s="204">
        <v>2017</v>
      </c>
      <c r="AJ25" s="240"/>
    </row>
    <row r="26" spans="1:36" s="67" customFormat="1" ht="45" customHeight="1" outlineLevel="1">
      <c r="A26" s="511"/>
      <c r="B26" s="204" t="s">
        <v>54</v>
      </c>
      <c r="C26" s="507"/>
      <c r="D26" s="205" t="s">
        <v>209</v>
      </c>
      <c r="E26" s="204" t="s">
        <v>12</v>
      </c>
      <c r="F26" s="204" t="s">
        <v>130</v>
      </c>
      <c r="G26" s="204" t="s">
        <v>12</v>
      </c>
      <c r="H26" s="207"/>
      <c r="I26" s="208"/>
      <c r="J26" s="207"/>
      <c r="K26" s="209"/>
      <c r="L26" s="208"/>
      <c r="M26" s="208"/>
      <c r="N26" s="204" t="s">
        <v>82</v>
      </c>
      <c r="O26" s="204">
        <v>15</v>
      </c>
      <c r="P26" s="210">
        <v>44531</v>
      </c>
      <c r="Q26" s="211" t="s">
        <v>15</v>
      </c>
      <c r="R26" s="210">
        <v>45292</v>
      </c>
      <c r="S26" s="212" t="s">
        <v>148</v>
      </c>
      <c r="T26" s="213"/>
      <c r="U26" s="213"/>
      <c r="V26" s="213"/>
      <c r="W26" s="214"/>
      <c r="X26" s="215"/>
      <c r="Y26" s="216" t="e">
        <f>EOMONTH(X26-1,3)</f>
        <v>#NUM!</v>
      </c>
      <c r="Z26" s="216" t="e">
        <f>EOMONTH(MAX(Y26,V26),1)</f>
        <v>#NUM!</v>
      </c>
      <c r="AA26" s="216" t="e">
        <f>EOMONTH(Z26,1)</f>
        <v>#NUM!</v>
      </c>
      <c r="AB26" s="216" t="e">
        <f>MAX(EOMONTH(M26,6)-15,EOMONTH(MAX(Y26,Z26),4)-15,EOMONTH(AA26,3)-15)</f>
        <v>#NUM!</v>
      </c>
      <c r="AC26" s="216" t="e">
        <f>EOMONTH(AB26,0)+1</f>
        <v>#NUM!</v>
      </c>
      <c r="AD26" s="204" t="e">
        <f>ROUND((AC26-P26)/30,0)</f>
        <v>#NUM!</v>
      </c>
      <c r="AE26" s="217" t="e">
        <f>IF(AD26&gt;=12,AD26-12,0)</f>
        <v>#NUM!</v>
      </c>
      <c r="AF26" s="218" t="e">
        <f>(180-AD26)/12</f>
        <v>#NUM!</v>
      </c>
      <c r="AG26" s="206"/>
      <c r="AH26" s="204" t="s">
        <v>37</v>
      </c>
      <c r="AI26" s="204">
        <v>2017</v>
      </c>
      <c r="AJ26" s="240"/>
    </row>
    <row r="27" spans="1:36" s="67" customFormat="1" ht="45" customHeight="1" outlineLevel="1">
      <c r="A27" s="70">
        <v>15</v>
      </c>
      <c r="B27" s="50" t="s">
        <v>55</v>
      </c>
      <c r="C27" s="57" t="s">
        <v>190</v>
      </c>
      <c r="D27" s="57" t="s">
        <v>190</v>
      </c>
      <c r="E27" s="99" t="s">
        <v>192</v>
      </c>
      <c r="F27" s="50" t="s">
        <v>157</v>
      </c>
      <c r="G27" s="135" t="s">
        <v>64</v>
      </c>
      <c r="H27" s="48"/>
      <c r="I27" s="49"/>
      <c r="J27" s="48"/>
      <c r="K27" s="59"/>
      <c r="L27" s="49"/>
      <c r="M27" s="49"/>
      <c r="N27" s="50" t="s">
        <v>83</v>
      </c>
      <c r="O27" s="50">
        <v>20</v>
      </c>
      <c r="P27" s="51">
        <v>44531</v>
      </c>
      <c r="Q27" s="60" t="s">
        <v>15</v>
      </c>
      <c r="R27" s="51">
        <v>45292</v>
      </c>
      <c r="S27" s="79" t="s">
        <v>148</v>
      </c>
      <c r="T27" s="80"/>
      <c r="U27" s="80"/>
      <c r="V27" s="80"/>
      <c r="W27" s="76"/>
      <c r="X27" s="77"/>
      <c r="Y27" s="64" t="e">
        <f>EOMONTH(X27-1,3)</f>
        <v>#NUM!</v>
      </c>
      <c r="Z27" s="64" t="e">
        <f>EOMONTH(MAX(Y27,V27),1)</f>
        <v>#NUM!</v>
      </c>
      <c r="AA27" s="64" t="e">
        <f>EOMONTH(Z27,1)</f>
        <v>#NUM!</v>
      </c>
      <c r="AB27" s="64" t="e">
        <f>MAX(EOMONTH(M27,6)-15,EOMONTH(MAX(Y27,Z27),4)-15,EOMONTH(AA27,3)-15)</f>
        <v>#NUM!</v>
      </c>
      <c r="AC27" s="64" t="e">
        <f>EOMONTH(AB27,0)+1</f>
        <v>#NUM!</v>
      </c>
      <c r="AD27" s="50" t="e">
        <f>ROUND((AC27-P27)/30,0)</f>
        <v>#NUM!</v>
      </c>
      <c r="AE27" s="65" t="e">
        <f>IF(AD27&gt;=12,AD27-12,0)</f>
        <v>#NUM!</v>
      </c>
      <c r="AF27" s="66" t="e">
        <f>(180-AD27)/12</f>
        <v>#NUM!</v>
      </c>
      <c r="AG27" s="78"/>
      <c r="AH27" s="50" t="s">
        <v>37</v>
      </c>
      <c r="AI27" s="50">
        <v>2017</v>
      </c>
      <c r="AJ27" s="97" t="s">
        <v>191</v>
      </c>
    </row>
    <row r="28" spans="1:36" s="67" customFormat="1" ht="45" customHeight="1" outlineLevel="1">
      <c r="A28" s="494">
        <v>16</v>
      </c>
      <c r="B28" s="187" t="s">
        <v>52</v>
      </c>
      <c r="C28" s="497" t="s">
        <v>184</v>
      </c>
      <c r="D28" s="188" t="s">
        <v>185</v>
      </c>
      <c r="E28" s="189" t="s">
        <v>13</v>
      </c>
      <c r="F28" s="187" t="s">
        <v>188</v>
      </c>
      <c r="G28" s="190" t="s">
        <v>9</v>
      </c>
      <c r="H28" s="191"/>
      <c r="I28" s="192"/>
      <c r="J28" s="191"/>
      <c r="K28" s="193"/>
      <c r="L28" s="192"/>
      <c r="M28" s="192"/>
      <c r="N28" s="187" t="s">
        <v>80</v>
      </c>
      <c r="O28" s="187">
        <v>20</v>
      </c>
      <c r="P28" s="194">
        <v>44531</v>
      </c>
      <c r="Q28" s="195" t="s">
        <v>15</v>
      </c>
      <c r="R28" s="194">
        <v>45292</v>
      </c>
      <c r="S28" s="196" t="s">
        <v>148</v>
      </c>
      <c r="T28" s="197"/>
      <c r="U28" s="197"/>
      <c r="V28" s="197"/>
      <c r="W28" s="198"/>
      <c r="X28" s="199"/>
      <c r="Y28" s="200" t="e">
        <f t="shared" si="13"/>
        <v>#NUM!</v>
      </c>
      <c r="Z28" s="200" t="e">
        <f t="shared" si="6"/>
        <v>#NUM!</v>
      </c>
      <c r="AA28" s="200" t="e">
        <f t="shared" si="7"/>
        <v>#NUM!</v>
      </c>
      <c r="AB28" s="200" t="e">
        <f t="shared" si="8"/>
        <v>#NUM!</v>
      </c>
      <c r="AC28" s="200" t="e">
        <f t="shared" si="9"/>
        <v>#NUM!</v>
      </c>
      <c r="AD28" s="187" t="e">
        <f t="shared" si="10"/>
        <v>#NUM!</v>
      </c>
      <c r="AE28" s="201" t="e">
        <f t="shared" si="11"/>
        <v>#NUM!</v>
      </c>
      <c r="AF28" s="202" t="e">
        <f t="shared" si="12"/>
        <v>#NUM!</v>
      </c>
      <c r="AG28" s="203"/>
      <c r="AH28" s="187" t="s">
        <v>37</v>
      </c>
      <c r="AI28" s="187">
        <v>2017</v>
      </c>
      <c r="AJ28" s="239" t="s">
        <v>151</v>
      </c>
    </row>
    <row r="29" spans="1:36" s="67" customFormat="1" ht="45" customHeight="1" outlineLevel="1">
      <c r="A29" s="495"/>
      <c r="B29" s="187" t="s">
        <v>58</v>
      </c>
      <c r="C29" s="498"/>
      <c r="D29" s="188" t="s">
        <v>186</v>
      </c>
      <c r="E29" s="189" t="s">
        <v>13</v>
      </c>
      <c r="F29" s="187" t="s">
        <v>188</v>
      </c>
      <c r="G29" s="190" t="s">
        <v>65</v>
      </c>
      <c r="H29" s="191"/>
      <c r="I29" s="192"/>
      <c r="J29" s="191"/>
      <c r="K29" s="193"/>
      <c r="L29" s="192"/>
      <c r="M29" s="192"/>
      <c r="N29" s="187" t="s">
        <v>86</v>
      </c>
      <c r="O29" s="187">
        <v>15</v>
      </c>
      <c r="P29" s="194">
        <v>44896</v>
      </c>
      <c r="Q29" s="195" t="s">
        <v>15</v>
      </c>
      <c r="R29" s="194">
        <v>45658</v>
      </c>
      <c r="S29" s="196" t="s">
        <v>149</v>
      </c>
      <c r="T29" s="197"/>
      <c r="U29" s="197"/>
      <c r="V29" s="197"/>
      <c r="W29" s="198"/>
      <c r="X29" s="199"/>
      <c r="Y29" s="200" t="e">
        <f>EOMONTH(X29-1,3)</f>
        <v>#NUM!</v>
      </c>
      <c r="Z29" s="200" t="e">
        <f>EOMONTH(MAX(Y29,V29),1)</f>
        <v>#NUM!</v>
      </c>
      <c r="AA29" s="200" t="e">
        <f>EOMONTH(Z29,1)</f>
        <v>#NUM!</v>
      </c>
      <c r="AB29" s="200" t="e">
        <f>MAX(EOMONTH(M29,6)-15,EOMONTH(MAX(Y29,Z29),4)-15,EOMONTH(AA29,3)-15)</f>
        <v>#NUM!</v>
      </c>
      <c r="AC29" s="200" t="e">
        <f>EOMONTH(AB29,0)+1</f>
        <v>#NUM!</v>
      </c>
      <c r="AD29" s="187" t="e">
        <f>ROUND((AC29-P29)/30,0)</f>
        <v>#NUM!</v>
      </c>
      <c r="AE29" s="201" t="e">
        <f>IF(AD29&gt;=12,AD29-12,0)</f>
        <v>#NUM!</v>
      </c>
      <c r="AF29" s="202" t="e">
        <f>(180-AD29)/12</f>
        <v>#NUM!</v>
      </c>
      <c r="AG29" s="203"/>
      <c r="AH29" s="187" t="s">
        <v>37</v>
      </c>
      <c r="AI29" s="187">
        <v>2017</v>
      </c>
      <c r="AJ29" s="239" t="s">
        <v>151</v>
      </c>
    </row>
    <row r="30" spans="1:36" s="67" customFormat="1" ht="45" customHeight="1" outlineLevel="1">
      <c r="A30" s="496"/>
      <c r="B30" s="187" t="s">
        <v>59</v>
      </c>
      <c r="C30" s="499"/>
      <c r="D30" s="187" t="s">
        <v>187</v>
      </c>
      <c r="E30" s="189" t="s">
        <v>13</v>
      </c>
      <c r="F30" s="187" t="s">
        <v>188</v>
      </c>
      <c r="G30" s="190" t="s">
        <v>10</v>
      </c>
      <c r="H30" s="191"/>
      <c r="I30" s="192"/>
      <c r="J30" s="191"/>
      <c r="K30" s="193"/>
      <c r="L30" s="192"/>
      <c r="M30" s="192"/>
      <c r="N30" s="187" t="s">
        <v>87</v>
      </c>
      <c r="O30" s="187">
        <v>15</v>
      </c>
      <c r="P30" s="194">
        <v>44896</v>
      </c>
      <c r="Q30" s="195" t="s">
        <v>15</v>
      </c>
      <c r="R30" s="194">
        <v>45658</v>
      </c>
      <c r="S30" s="196" t="s">
        <v>149</v>
      </c>
      <c r="T30" s="197"/>
      <c r="U30" s="197"/>
      <c r="V30" s="197"/>
      <c r="W30" s="198"/>
      <c r="X30" s="199"/>
      <c r="Y30" s="200" t="e">
        <f>EOMONTH(X30-1,3)</f>
        <v>#NUM!</v>
      </c>
      <c r="Z30" s="200" t="e">
        <f>EOMONTH(MAX(Y30,V30),1)</f>
        <v>#NUM!</v>
      </c>
      <c r="AA30" s="200" t="e">
        <f>EOMONTH(Z30,1)</f>
        <v>#NUM!</v>
      </c>
      <c r="AB30" s="200" t="e">
        <f>MAX(EOMONTH(M30,6)-15,EOMONTH(MAX(Y30,Z30),4)-15,EOMONTH(AA30,3)-15)</f>
        <v>#NUM!</v>
      </c>
      <c r="AC30" s="200" t="e">
        <f>EOMONTH(AB30,0)+1</f>
        <v>#NUM!</v>
      </c>
      <c r="AD30" s="187" t="e">
        <f>ROUND((AC30-P30)/30,0)</f>
        <v>#NUM!</v>
      </c>
      <c r="AE30" s="201" t="e">
        <f>IF(AD30&gt;=12,AD30-12,0)</f>
        <v>#NUM!</v>
      </c>
      <c r="AF30" s="202" t="e">
        <f>(180-AD30)/12</f>
        <v>#NUM!</v>
      </c>
      <c r="AG30" s="203"/>
      <c r="AH30" s="187" t="s">
        <v>37</v>
      </c>
      <c r="AI30" s="187">
        <v>2017</v>
      </c>
      <c r="AJ30" s="239" t="s">
        <v>151</v>
      </c>
    </row>
    <row r="31" spans="1:36" s="67" customFormat="1" ht="45" customHeight="1" outlineLevel="1">
      <c r="A31" s="70">
        <v>17</v>
      </c>
      <c r="B31" s="50" t="s">
        <v>57</v>
      </c>
      <c r="C31" s="57" t="s">
        <v>193</v>
      </c>
      <c r="D31" s="57" t="s">
        <v>193</v>
      </c>
      <c r="E31" s="99"/>
      <c r="F31" s="50"/>
      <c r="G31" s="50" t="s">
        <v>63</v>
      </c>
      <c r="H31" s="48"/>
      <c r="I31" s="49"/>
      <c r="J31" s="48"/>
      <c r="K31" s="59"/>
      <c r="L31" s="49"/>
      <c r="M31" s="49"/>
      <c r="N31" s="50" t="s">
        <v>85</v>
      </c>
      <c r="O31" s="50">
        <v>20</v>
      </c>
      <c r="P31" s="51">
        <v>44896</v>
      </c>
      <c r="Q31" s="60" t="s">
        <v>15</v>
      </c>
      <c r="R31" s="51">
        <v>45658</v>
      </c>
      <c r="S31" s="79" t="s">
        <v>149</v>
      </c>
      <c r="T31" s="80"/>
      <c r="U31" s="80"/>
      <c r="V31" s="80"/>
      <c r="W31" s="76"/>
      <c r="X31" s="77"/>
      <c r="Y31" s="64" t="e">
        <f t="shared" si="13"/>
        <v>#NUM!</v>
      </c>
      <c r="Z31" s="64" t="e">
        <f t="shared" si="6"/>
        <v>#NUM!</v>
      </c>
      <c r="AA31" s="64" t="e">
        <f t="shared" si="7"/>
        <v>#NUM!</v>
      </c>
      <c r="AB31" s="64" t="e">
        <f t="shared" si="8"/>
        <v>#NUM!</v>
      </c>
      <c r="AC31" s="64" t="e">
        <f t="shared" si="9"/>
        <v>#NUM!</v>
      </c>
      <c r="AD31" s="50" t="e">
        <f t="shared" si="10"/>
        <v>#NUM!</v>
      </c>
      <c r="AE31" s="65" t="e">
        <f t="shared" si="11"/>
        <v>#NUM!</v>
      </c>
      <c r="AF31" s="66" t="e">
        <f t="shared" si="12"/>
        <v>#NUM!</v>
      </c>
      <c r="AG31" s="78"/>
      <c r="AH31" s="50" t="s">
        <v>37</v>
      </c>
      <c r="AI31" s="50">
        <v>2017</v>
      </c>
      <c r="AJ31" s="97"/>
    </row>
    <row r="32" spans="1:36" s="67" customFormat="1" ht="45" customHeight="1" outlineLevel="1">
      <c r="A32" s="512">
        <v>18</v>
      </c>
      <c r="B32" s="219" t="s">
        <v>60</v>
      </c>
      <c r="C32" s="508" t="s">
        <v>194</v>
      </c>
      <c r="D32" s="220" t="s">
        <v>210</v>
      </c>
      <c r="E32" s="221" t="s">
        <v>62</v>
      </c>
      <c r="F32" s="219" t="s">
        <v>195</v>
      </c>
      <c r="G32" s="222" t="s">
        <v>64</v>
      </c>
      <c r="H32" s="223"/>
      <c r="I32" s="224"/>
      <c r="J32" s="223"/>
      <c r="K32" s="225"/>
      <c r="L32" s="224"/>
      <c r="M32" s="224"/>
      <c r="N32" s="219" t="s">
        <v>88</v>
      </c>
      <c r="O32" s="219">
        <v>15</v>
      </c>
      <c r="P32" s="226">
        <v>44896</v>
      </c>
      <c r="Q32" s="227" t="s">
        <v>15</v>
      </c>
      <c r="R32" s="226">
        <v>45658</v>
      </c>
      <c r="S32" s="228" t="s">
        <v>149</v>
      </c>
      <c r="T32" s="229"/>
      <c r="U32" s="229"/>
      <c r="V32" s="229"/>
      <c r="W32" s="230"/>
      <c r="X32" s="231"/>
      <c r="Y32" s="232" t="e">
        <f t="shared" si="13"/>
        <v>#NUM!</v>
      </c>
      <c r="Z32" s="232" t="e">
        <f t="shared" si="6"/>
        <v>#NUM!</v>
      </c>
      <c r="AA32" s="232" t="e">
        <f t="shared" si="7"/>
        <v>#NUM!</v>
      </c>
      <c r="AB32" s="232" t="e">
        <f t="shared" si="8"/>
        <v>#NUM!</v>
      </c>
      <c r="AC32" s="232" t="e">
        <f t="shared" si="9"/>
        <v>#NUM!</v>
      </c>
      <c r="AD32" s="219" t="e">
        <f t="shared" si="10"/>
        <v>#NUM!</v>
      </c>
      <c r="AE32" s="233" t="e">
        <f t="shared" si="11"/>
        <v>#NUM!</v>
      </c>
      <c r="AF32" s="234" t="e">
        <f t="shared" si="12"/>
        <v>#NUM!</v>
      </c>
      <c r="AG32" s="235"/>
      <c r="AH32" s="219" t="s">
        <v>37</v>
      </c>
      <c r="AI32" s="219">
        <v>2017</v>
      </c>
      <c r="AJ32" s="241" t="s">
        <v>151</v>
      </c>
    </row>
    <row r="33" spans="1:36" s="67" customFormat="1" ht="45" customHeight="1" outlineLevel="1">
      <c r="A33" s="513"/>
      <c r="B33" s="219" t="s">
        <v>61</v>
      </c>
      <c r="C33" s="509"/>
      <c r="D33" s="219" t="s">
        <v>211</v>
      </c>
      <c r="E33" s="219" t="s">
        <v>62</v>
      </c>
      <c r="F33" s="219" t="s">
        <v>195</v>
      </c>
      <c r="G33" s="235" t="s">
        <v>62</v>
      </c>
      <c r="H33" s="223"/>
      <c r="I33" s="224"/>
      <c r="J33" s="223"/>
      <c r="K33" s="225"/>
      <c r="L33" s="224"/>
      <c r="M33" s="224"/>
      <c r="N33" s="219" t="s">
        <v>89</v>
      </c>
      <c r="O33" s="219">
        <v>15</v>
      </c>
      <c r="P33" s="226">
        <v>44896</v>
      </c>
      <c r="Q33" s="227" t="s">
        <v>15</v>
      </c>
      <c r="R33" s="226">
        <v>45658</v>
      </c>
      <c r="S33" s="228" t="s">
        <v>149</v>
      </c>
      <c r="T33" s="229"/>
      <c r="U33" s="229"/>
      <c r="V33" s="229"/>
      <c r="W33" s="230"/>
      <c r="X33" s="231"/>
      <c r="Y33" s="232" t="e">
        <f t="shared" si="13"/>
        <v>#NUM!</v>
      </c>
      <c r="Z33" s="232" t="e">
        <f t="shared" si="6"/>
        <v>#NUM!</v>
      </c>
      <c r="AA33" s="232" t="e">
        <f t="shared" si="7"/>
        <v>#NUM!</v>
      </c>
      <c r="AB33" s="232" t="e">
        <f t="shared" si="8"/>
        <v>#NUM!</v>
      </c>
      <c r="AC33" s="232" t="e">
        <f t="shared" si="9"/>
        <v>#NUM!</v>
      </c>
      <c r="AD33" s="219" t="e">
        <f t="shared" si="10"/>
        <v>#NUM!</v>
      </c>
      <c r="AE33" s="233" t="e">
        <f t="shared" si="11"/>
        <v>#NUM!</v>
      </c>
      <c r="AF33" s="234" t="e">
        <f t="shared" si="12"/>
        <v>#NUM!</v>
      </c>
      <c r="AG33" s="235"/>
      <c r="AH33" s="219" t="s">
        <v>37</v>
      </c>
      <c r="AI33" s="219">
        <v>2017</v>
      </c>
      <c r="AJ33" s="241"/>
    </row>
    <row r="34" spans="1:36" s="1" customFormat="1" ht="15.5">
      <c r="A34" s="2"/>
      <c r="B34" s="14"/>
      <c r="C34" s="14"/>
      <c r="D34" s="14"/>
      <c r="E34" s="14"/>
      <c r="F34" s="14"/>
      <c r="G34" s="14"/>
      <c r="H34" s="14"/>
      <c r="I34" s="14"/>
      <c r="J34" s="14"/>
      <c r="K34" s="14"/>
      <c r="L34" s="14"/>
      <c r="M34" s="14"/>
      <c r="N34" s="3"/>
      <c r="O34" s="3"/>
      <c r="P34" s="15"/>
      <c r="Q34" s="16"/>
      <c r="R34" s="15"/>
      <c r="S34" s="15"/>
      <c r="T34" s="17"/>
      <c r="U34" s="17"/>
      <c r="V34" s="17"/>
      <c r="W34" s="15"/>
      <c r="X34" s="15"/>
      <c r="Y34" s="15"/>
      <c r="Z34" s="15"/>
      <c r="AA34" s="15"/>
      <c r="AB34" s="15"/>
      <c r="AC34" s="15"/>
      <c r="AD34" s="14"/>
      <c r="AE34" s="18"/>
      <c r="AF34" s="19"/>
      <c r="AG34" s="3"/>
      <c r="AH34" s="3"/>
      <c r="AI34" s="3"/>
      <c r="AJ34" s="20"/>
    </row>
    <row r="35" spans="1:36" s="1" customFormat="1" ht="15.5">
      <c r="A35" s="2"/>
      <c r="B35" s="14" t="s">
        <v>152</v>
      </c>
      <c r="C35" s="14" t="s">
        <v>153</v>
      </c>
      <c r="D35" s="14"/>
      <c r="E35" s="14"/>
      <c r="F35" s="14"/>
      <c r="G35" s="14"/>
      <c r="H35" s="14"/>
      <c r="I35" s="14"/>
      <c r="J35" s="14"/>
      <c r="K35" s="14"/>
      <c r="L35" s="14"/>
      <c r="M35" s="14"/>
      <c r="N35" s="3"/>
      <c r="O35" s="3"/>
      <c r="P35" s="15"/>
      <c r="Q35" s="16"/>
      <c r="R35" s="15"/>
      <c r="S35" s="15"/>
      <c r="T35" s="17"/>
      <c r="U35" s="17"/>
      <c r="V35" s="17"/>
      <c r="W35" s="15"/>
      <c r="X35" s="15"/>
      <c r="Y35" s="15"/>
      <c r="Z35" s="15"/>
      <c r="AA35" s="15"/>
      <c r="AB35" s="15"/>
      <c r="AC35" s="15"/>
      <c r="AD35" s="14"/>
      <c r="AE35" s="18"/>
      <c r="AF35" s="19"/>
      <c r="AG35" s="3"/>
      <c r="AH35" s="3"/>
      <c r="AI35" s="3"/>
      <c r="AJ35" s="20"/>
    </row>
    <row r="36" spans="1:36">
      <c r="A36" t="s">
        <v>34</v>
      </c>
      <c r="B36">
        <f>COUNTIF($AH$3:$AH$33,A36)</f>
        <v>12</v>
      </c>
      <c r="C36">
        <f>SUMIF($AH$3:$AH$33,A36,$O$3:$O$33)</f>
        <v>208.5</v>
      </c>
    </row>
    <row r="37" spans="1:36" ht="15" thickBot="1">
      <c r="A37" t="s">
        <v>37</v>
      </c>
      <c r="B37">
        <f>COUNTIF($AH$3:$AH$33,A37)</f>
        <v>19</v>
      </c>
      <c r="C37">
        <f>SUMIF($AH$3:$AH$33,A37,$O$3:$O$33)</f>
        <v>330</v>
      </c>
    </row>
    <row r="38" spans="1:36" ht="15" thickBot="1">
      <c r="A38" t="s">
        <v>107</v>
      </c>
      <c r="B38">
        <f>B36+B37</f>
        <v>31</v>
      </c>
      <c r="C38">
        <f>C36+C37</f>
        <v>538.5</v>
      </c>
      <c r="R38" s="21"/>
      <c r="S38" s="22">
        <v>43191</v>
      </c>
      <c r="T38" s="22">
        <v>43221</v>
      </c>
      <c r="U38" s="22"/>
      <c r="V38" s="22">
        <v>43252</v>
      </c>
      <c r="W38" s="22">
        <v>43282</v>
      </c>
      <c r="X38" s="22">
        <v>43313</v>
      </c>
      <c r="Y38" s="22">
        <v>43344</v>
      </c>
      <c r="Z38" s="22">
        <v>43374</v>
      </c>
      <c r="AA38" s="22">
        <v>43405</v>
      </c>
      <c r="AB38" s="22">
        <v>43435</v>
      </c>
      <c r="AC38" t="s">
        <v>106</v>
      </c>
    </row>
    <row r="39" spans="1:36" ht="15" thickBot="1">
      <c r="R39" s="23" t="s">
        <v>36</v>
      </c>
      <c r="S39" s="24">
        <v>10</v>
      </c>
      <c r="T39" s="24">
        <v>30</v>
      </c>
      <c r="U39" s="24"/>
      <c r="V39" s="24"/>
      <c r="W39" s="24">
        <v>15</v>
      </c>
      <c r="X39" s="24"/>
      <c r="Y39" s="24">
        <v>15</v>
      </c>
      <c r="Z39" s="24">
        <v>15</v>
      </c>
      <c r="AA39" s="24"/>
      <c r="AB39" s="24">
        <v>25</v>
      </c>
      <c r="AC39" s="25">
        <f>SUM(S39:AB39)</f>
        <v>110</v>
      </c>
    </row>
    <row r="40" spans="1:36" ht="15" thickBot="1">
      <c r="R40" s="23" t="s">
        <v>35</v>
      </c>
      <c r="S40" s="24"/>
      <c r="T40" s="24">
        <v>15</v>
      </c>
      <c r="U40" s="24"/>
      <c r="V40" s="24">
        <v>30</v>
      </c>
      <c r="W40" s="24"/>
      <c r="X40" s="24"/>
      <c r="Y40" s="24"/>
      <c r="Z40" s="24">
        <v>30</v>
      </c>
      <c r="AA40" s="24">
        <v>10</v>
      </c>
      <c r="AB40" s="24">
        <v>25</v>
      </c>
      <c r="AC40" s="25">
        <f>SUM(S40:AB40)</f>
        <v>110</v>
      </c>
    </row>
    <row r="41" spans="1:36" ht="15" thickBot="1"/>
    <row r="42" spans="1:36" ht="15" thickBot="1">
      <c r="R42" s="7"/>
      <c r="S42" s="8" t="s">
        <v>36</v>
      </c>
      <c r="T42" s="9" t="s">
        <v>35</v>
      </c>
      <c r="U42" s="9"/>
      <c r="V42" s="10" t="s">
        <v>37</v>
      </c>
      <c r="W42" s="11" t="s">
        <v>34</v>
      </c>
    </row>
    <row r="43" spans="1:36">
      <c r="R43" s="6">
        <v>43191</v>
      </c>
      <c r="S43" s="3">
        <f t="shared" ref="S43:S57" si="14">SUMIFS($O$3:$O$7,$T$3:$T$7,$S$42,$V$3:$V$7,R43)</f>
        <v>0</v>
      </c>
      <c r="T43" s="3">
        <f t="shared" ref="T43:T57" si="15">SUMIFS($O$3:$O$7,$T$3:$T$7,$T$42,$V$3:$V$7,R43)</f>
        <v>0</v>
      </c>
      <c r="U43" s="3"/>
      <c r="V43" s="3">
        <f t="shared" ref="V43:V57" si="16">SUMIFS($O$3:$O$7,$AH$3:$AH$7,$V$42,$V$3:$V$7,R43)</f>
        <v>0</v>
      </c>
      <c r="W43" s="4">
        <f t="shared" ref="W43:W57" si="17">SUMIFS($O$3:$O$7,$AH$3:$AH$7,W$42,$V$3:$V$7,$R43)</f>
        <v>0</v>
      </c>
    </row>
    <row r="44" spans="1:36">
      <c r="R44" s="6">
        <v>43221</v>
      </c>
      <c r="S44" s="3">
        <f t="shared" si="14"/>
        <v>0</v>
      </c>
      <c r="T44" s="3">
        <f t="shared" si="15"/>
        <v>0</v>
      </c>
      <c r="U44" s="3"/>
      <c r="V44" s="3">
        <f t="shared" si="16"/>
        <v>0</v>
      </c>
      <c r="W44" s="4">
        <f t="shared" si="17"/>
        <v>0</v>
      </c>
    </row>
    <row r="45" spans="1:36">
      <c r="R45" s="6">
        <v>43252</v>
      </c>
      <c r="S45" s="3">
        <f t="shared" si="14"/>
        <v>0</v>
      </c>
      <c r="T45" s="3">
        <f t="shared" si="15"/>
        <v>0</v>
      </c>
      <c r="U45" s="3"/>
      <c r="V45" s="3">
        <f t="shared" si="16"/>
        <v>0</v>
      </c>
      <c r="W45" s="4">
        <f t="shared" si="17"/>
        <v>0</v>
      </c>
    </row>
    <row r="46" spans="1:36">
      <c r="R46" s="6">
        <v>43282</v>
      </c>
      <c r="S46" s="3">
        <f t="shared" si="14"/>
        <v>0</v>
      </c>
      <c r="T46" s="3">
        <f t="shared" si="15"/>
        <v>0</v>
      </c>
      <c r="U46" s="3"/>
      <c r="V46" s="3">
        <f t="shared" si="16"/>
        <v>0</v>
      </c>
      <c r="W46" s="4">
        <f t="shared" si="17"/>
        <v>0</v>
      </c>
    </row>
    <row r="47" spans="1:36">
      <c r="R47" s="6">
        <v>43313</v>
      </c>
      <c r="S47" s="3">
        <f t="shared" si="14"/>
        <v>0</v>
      </c>
      <c r="T47" s="3">
        <f t="shared" si="15"/>
        <v>0</v>
      </c>
      <c r="U47" s="3"/>
      <c r="V47" s="3">
        <f t="shared" si="16"/>
        <v>0</v>
      </c>
      <c r="W47" s="4">
        <f t="shared" si="17"/>
        <v>0</v>
      </c>
    </row>
    <row r="48" spans="1:36">
      <c r="R48" s="6">
        <v>43344</v>
      </c>
      <c r="S48" s="3">
        <f t="shared" si="14"/>
        <v>0</v>
      </c>
      <c r="T48" s="3">
        <f t="shared" si="15"/>
        <v>0</v>
      </c>
      <c r="U48" s="3"/>
      <c r="V48" s="3">
        <f t="shared" si="16"/>
        <v>0</v>
      </c>
      <c r="W48" s="4">
        <f t="shared" si="17"/>
        <v>0</v>
      </c>
    </row>
    <row r="49" spans="18:23">
      <c r="R49" s="6">
        <v>43374</v>
      </c>
      <c r="S49" s="3">
        <f t="shared" si="14"/>
        <v>0</v>
      </c>
      <c r="T49" s="3">
        <f t="shared" si="15"/>
        <v>0</v>
      </c>
      <c r="U49" s="3"/>
      <c r="V49" s="3">
        <f t="shared" si="16"/>
        <v>0</v>
      </c>
      <c r="W49" s="4">
        <f t="shared" si="17"/>
        <v>0</v>
      </c>
    </row>
    <row r="50" spans="18:23">
      <c r="R50" s="6">
        <v>43405</v>
      </c>
      <c r="S50" s="3">
        <f t="shared" si="14"/>
        <v>0</v>
      </c>
      <c r="T50" s="3">
        <f t="shared" si="15"/>
        <v>0</v>
      </c>
      <c r="U50" s="3"/>
      <c r="V50" s="3">
        <f t="shared" si="16"/>
        <v>0</v>
      </c>
      <c r="W50" s="4">
        <f t="shared" si="17"/>
        <v>0</v>
      </c>
    </row>
    <row r="51" spans="18:23" ht="15" thickBot="1">
      <c r="R51" s="13">
        <v>43435</v>
      </c>
      <c r="S51" s="5">
        <f t="shared" si="14"/>
        <v>0</v>
      </c>
      <c r="T51" s="5">
        <f t="shared" si="15"/>
        <v>0</v>
      </c>
      <c r="U51" s="5"/>
      <c r="V51" s="5">
        <f t="shared" si="16"/>
        <v>0</v>
      </c>
      <c r="W51" s="12">
        <f t="shared" si="17"/>
        <v>0</v>
      </c>
    </row>
    <row r="52" spans="18:23">
      <c r="R52" s="40">
        <v>43466</v>
      </c>
      <c r="S52" s="35">
        <f t="shared" si="14"/>
        <v>0</v>
      </c>
      <c r="T52" s="36">
        <f t="shared" si="15"/>
        <v>0</v>
      </c>
      <c r="U52" s="36"/>
      <c r="V52" s="36">
        <f t="shared" si="16"/>
        <v>0</v>
      </c>
      <c r="W52" s="37">
        <f t="shared" si="17"/>
        <v>0</v>
      </c>
    </row>
    <row r="53" spans="18:23">
      <c r="R53" s="41">
        <v>43497</v>
      </c>
      <c r="S53" s="42">
        <f t="shared" si="14"/>
        <v>0</v>
      </c>
      <c r="T53" s="43">
        <f t="shared" si="15"/>
        <v>0</v>
      </c>
      <c r="U53" s="43"/>
      <c r="V53" s="43">
        <f t="shared" si="16"/>
        <v>0</v>
      </c>
      <c r="W53" s="44">
        <f t="shared" si="17"/>
        <v>0</v>
      </c>
    </row>
    <row r="54" spans="18:23">
      <c r="R54" s="41">
        <v>43525</v>
      </c>
      <c r="S54" s="42">
        <f t="shared" si="14"/>
        <v>0</v>
      </c>
      <c r="T54" s="43">
        <f t="shared" si="15"/>
        <v>0</v>
      </c>
      <c r="U54" s="43"/>
      <c r="V54" s="43">
        <f t="shared" si="16"/>
        <v>0</v>
      </c>
      <c r="W54" s="44">
        <f t="shared" si="17"/>
        <v>0</v>
      </c>
    </row>
    <row r="55" spans="18:23">
      <c r="R55" s="41">
        <v>43556</v>
      </c>
      <c r="S55" s="42">
        <f t="shared" si="14"/>
        <v>0</v>
      </c>
      <c r="T55" s="43">
        <f t="shared" si="15"/>
        <v>0</v>
      </c>
      <c r="U55" s="43"/>
      <c r="V55" s="43">
        <f t="shared" si="16"/>
        <v>0</v>
      </c>
      <c r="W55" s="44">
        <f t="shared" si="17"/>
        <v>0</v>
      </c>
    </row>
    <row r="56" spans="18:23">
      <c r="R56" s="41">
        <v>43586</v>
      </c>
      <c r="S56" s="43">
        <f t="shared" si="14"/>
        <v>0</v>
      </c>
      <c r="T56" s="43">
        <f t="shared" si="15"/>
        <v>0</v>
      </c>
      <c r="U56" s="43"/>
      <c r="V56" s="43">
        <f t="shared" si="16"/>
        <v>0</v>
      </c>
      <c r="W56" s="44">
        <f t="shared" si="17"/>
        <v>0</v>
      </c>
    </row>
    <row r="57" spans="18:23" ht="15" thickBot="1">
      <c r="R57" s="45">
        <v>43617</v>
      </c>
      <c r="S57" s="38">
        <f t="shared" si="14"/>
        <v>0</v>
      </c>
      <c r="T57" s="38">
        <f t="shared" si="15"/>
        <v>0</v>
      </c>
      <c r="U57" s="38"/>
      <c r="V57" s="38">
        <f t="shared" si="16"/>
        <v>0</v>
      </c>
      <c r="W57" s="39">
        <f t="shared" si="17"/>
        <v>0</v>
      </c>
    </row>
    <row r="58" spans="18:23">
      <c r="R58" s="25" t="s">
        <v>107</v>
      </c>
      <c r="S58" s="27">
        <f>SUM(S43:S57)</f>
        <v>0</v>
      </c>
      <c r="T58" s="27">
        <f t="shared" ref="T58:V58" si="18">SUM(T43:T57)</f>
        <v>0</v>
      </c>
      <c r="U58" s="27"/>
      <c r="V58" s="27">
        <f t="shared" si="18"/>
        <v>0</v>
      </c>
      <c r="W58" s="27">
        <f>SUM(W43:W57)</f>
        <v>0</v>
      </c>
    </row>
    <row r="59" spans="18:23">
      <c r="R59" s="25" t="s">
        <v>108</v>
      </c>
      <c r="S59" s="27"/>
      <c r="T59" s="27"/>
      <c r="U59" s="27"/>
    </row>
    <row r="60" spans="18:23" ht="15" thickBot="1">
      <c r="R60" s="25"/>
      <c r="S60" s="26"/>
      <c r="T60" s="26"/>
      <c r="U60" s="26"/>
    </row>
    <row r="61" spans="18:23" ht="15" thickBot="1">
      <c r="R61" s="21"/>
      <c r="S61" s="21" t="s">
        <v>36</v>
      </c>
      <c r="T61" s="21" t="s">
        <v>35</v>
      </c>
      <c r="U61" s="46"/>
    </row>
    <row r="62" spans="18:23" ht="15" thickBot="1">
      <c r="R62" s="28">
        <v>43191</v>
      </c>
      <c r="S62" s="24">
        <v>20</v>
      </c>
      <c r="T62" s="24">
        <v>10</v>
      </c>
      <c r="U62" s="47"/>
      <c r="V62">
        <f>S62-S43</f>
        <v>20</v>
      </c>
      <c r="W62">
        <f>T62-T43</f>
        <v>10</v>
      </c>
    </row>
    <row r="63" spans="18:23" ht="15" thickBot="1">
      <c r="R63" s="28">
        <v>43221</v>
      </c>
      <c r="S63" s="24">
        <v>20</v>
      </c>
      <c r="T63" s="24">
        <v>10</v>
      </c>
      <c r="U63" s="47"/>
      <c r="V63">
        <f t="shared" ref="V63:W70" si="19">S63-S44+V62</f>
        <v>40</v>
      </c>
      <c r="W63">
        <f t="shared" si="19"/>
        <v>20</v>
      </c>
    </row>
    <row r="64" spans="18:23" ht="15" thickBot="1">
      <c r="R64" s="28">
        <v>43252</v>
      </c>
      <c r="S64" s="24">
        <v>20</v>
      </c>
      <c r="T64" s="24">
        <v>10</v>
      </c>
      <c r="U64" s="47"/>
      <c r="V64">
        <f t="shared" si="19"/>
        <v>60</v>
      </c>
      <c r="W64">
        <f t="shared" si="19"/>
        <v>30</v>
      </c>
    </row>
    <row r="65" spans="18:46" ht="15" thickBot="1">
      <c r="R65" s="28">
        <v>43282</v>
      </c>
      <c r="S65" s="24">
        <v>10</v>
      </c>
      <c r="T65" s="24">
        <v>13.3</v>
      </c>
      <c r="U65" s="47"/>
      <c r="V65">
        <f t="shared" si="19"/>
        <v>70</v>
      </c>
      <c r="W65">
        <f t="shared" si="19"/>
        <v>43.3</v>
      </c>
    </row>
    <row r="66" spans="18:46" ht="15" thickBot="1">
      <c r="R66" s="28">
        <v>43313</v>
      </c>
      <c r="S66" s="24">
        <v>10</v>
      </c>
      <c r="T66" s="24">
        <v>13.3</v>
      </c>
      <c r="U66" s="47"/>
      <c r="V66">
        <f t="shared" si="19"/>
        <v>80</v>
      </c>
      <c r="W66">
        <f t="shared" si="19"/>
        <v>56.599999999999994</v>
      </c>
    </row>
    <row r="67" spans="18:46" ht="15" thickBot="1">
      <c r="R67" s="28">
        <v>43344</v>
      </c>
      <c r="S67" s="24">
        <v>10</v>
      </c>
      <c r="T67" s="24">
        <v>13.3</v>
      </c>
      <c r="U67" s="47"/>
      <c r="V67">
        <f t="shared" si="19"/>
        <v>90</v>
      </c>
      <c r="W67">
        <f t="shared" si="19"/>
        <v>69.899999999999991</v>
      </c>
    </row>
    <row r="68" spans="18:46" ht="15" thickBot="1">
      <c r="R68" s="28">
        <v>43374</v>
      </c>
      <c r="S68" s="24">
        <v>9</v>
      </c>
      <c r="T68" s="24">
        <v>16.3</v>
      </c>
      <c r="U68" s="47"/>
      <c r="V68">
        <f t="shared" si="19"/>
        <v>99</v>
      </c>
      <c r="W68">
        <f t="shared" si="19"/>
        <v>86.199999999999989</v>
      </c>
    </row>
    <row r="69" spans="18:46" ht="15" thickBot="1">
      <c r="R69" s="28">
        <v>43405</v>
      </c>
      <c r="S69" s="24">
        <v>9</v>
      </c>
      <c r="T69" s="24">
        <v>16.3</v>
      </c>
      <c r="U69" s="47"/>
      <c r="V69">
        <f t="shared" si="19"/>
        <v>108</v>
      </c>
      <c r="W69">
        <f t="shared" si="19"/>
        <v>102.49999999999999</v>
      </c>
    </row>
    <row r="70" spans="18:46" ht="15" thickBot="1">
      <c r="R70" s="28">
        <v>43435</v>
      </c>
      <c r="S70" s="24">
        <v>9</v>
      </c>
      <c r="T70" s="24">
        <v>16.3</v>
      </c>
      <c r="U70" s="47"/>
      <c r="V70">
        <f t="shared" si="19"/>
        <v>117</v>
      </c>
      <c r="W70">
        <f t="shared" si="19"/>
        <v>118.79999999999998</v>
      </c>
    </row>
    <row r="73" spans="18:46">
      <c r="W73">
        <v>2018</v>
      </c>
    </row>
    <row r="74" spans="18:46">
      <c r="W74" s="30" t="s">
        <v>111</v>
      </c>
      <c r="X74" s="30" t="s">
        <v>112</v>
      </c>
      <c r="Y74" s="30" t="s">
        <v>113</v>
      </c>
      <c r="Z74" s="30" t="s">
        <v>114</v>
      </c>
      <c r="AA74" s="30" t="s">
        <v>115</v>
      </c>
      <c r="AB74" s="30" t="s">
        <v>116</v>
      </c>
      <c r="AC74" s="30" t="s">
        <v>117</v>
      </c>
      <c r="AD74" s="30" t="s">
        <v>118</v>
      </c>
      <c r="AE74" s="30" t="s">
        <v>119</v>
      </c>
      <c r="AF74" s="30" t="s">
        <v>120</v>
      </c>
      <c r="AG74" s="30" t="s">
        <v>121</v>
      </c>
      <c r="AH74" s="30" t="s">
        <v>122</v>
      </c>
      <c r="AI74" s="30" t="s">
        <v>111</v>
      </c>
      <c r="AJ74" s="30" t="s">
        <v>112</v>
      </c>
      <c r="AK74" s="30" t="s">
        <v>113</v>
      </c>
      <c r="AL74" s="30" t="s">
        <v>114</v>
      </c>
      <c r="AM74" s="30" t="s">
        <v>115</v>
      </c>
      <c r="AN74" s="30" t="s">
        <v>116</v>
      </c>
      <c r="AO74" s="30"/>
      <c r="AP74" s="30"/>
      <c r="AQ74" s="30"/>
      <c r="AR74" s="30"/>
      <c r="AS74" s="30"/>
      <c r="AT74" s="30"/>
    </row>
    <row r="75" spans="18:46">
      <c r="T75" t="s">
        <v>36</v>
      </c>
      <c r="V75">
        <v>14.501500000000007</v>
      </c>
      <c r="W75" s="30">
        <f>25.2/3</f>
        <v>8.4</v>
      </c>
      <c r="X75" s="30">
        <f t="shared" ref="X75:Y75" si="20">25.2/3</f>
        <v>8.4</v>
      </c>
      <c r="Y75" s="30">
        <f t="shared" si="20"/>
        <v>8.4</v>
      </c>
      <c r="Z75" s="30">
        <f>25.8/3</f>
        <v>8.6</v>
      </c>
      <c r="AA75" s="30">
        <f t="shared" ref="AA75:AB75" si="21">25.8/3</f>
        <v>8.6</v>
      </c>
      <c r="AB75" s="30">
        <f t="shared" si="21"/>
        <v>8.6</v>
      </c>
      <c r="AC75" s="30">
        <f>25.8/3</f>
        <v>8.6</v>
      </c>
      <c r="AD75" s="30">
        <f t="shared" ref="AD75:AN75" si="22">25.8/3</f>
        <v>8.6</v>
      </c>
      <c r="AE75" s="30">
        <f>25.8/3</f>
        <v>8.6</v>
      </c>
      <c r="AF75" s="30">
        <f t="shared" si="22"/>
        <v>8.6</v>
      </c>
      <c r="AG75" s="30">
        <f t="shared" si="22"/>
        <v>8.6</v>
      </c>
      <c r="AH75" s="30">
        <f t="shared" si="22"/>
        <v>8.6</v>
      </c>
      <c r="AI75" s="30">
        <f t="shared" si="22"/>
        <v>8.6</v>
      </c>
      <c r="AJ75" s="30">
        <f t="shared" si="22"/>
        <v>8.6</v>
      </c>
      <c r="AK75" s="30">
        <f t="shared" si="22"/>
        <v>8.6</v>
      </c>
      <c r="AL75" s="30">
        <f t="shared" si="22"/>
        <v>8.6</v>
      </c>
      <c r="AM75" s="30">
        <f t="shared" si="22"/>
        <v>8.6</v>
      </c>
      <c r="AN75" s="30">
        <f t="shared" si="22"/>
        <v>8.6</v>
      </c>
    </row>
    <row r="76" spans="18:46">
      <c r="T76" t="s">
        <v>35</v>
      </c>
      <c r="V76">
        <v>1.8418300000000016</v>
      </c>
      <c r="W76" s="31">
        <v>14.01169</v>
      </c>
      <c r="X76" s="31">
        <v>13.559699999999999</v>
      </c>
      <c r="Y76" s="31">
        <v>14.01169</v>
      </c>
      <c r="Z76" s="31">
        <v>6.7798499999999997</v>
      </c>
      <c r="AA76" s="31">
        <v>14.01169</v>
      </c>
      <c r="AB76" s="31">
        <v>13.559699999999999</v>
      </c>
      <c r="AC76" s="31">
        <v>14.01169</v>
      </c>
      <c r="AD76" s="31">
        <v>13.559699999999999</v>
      </c>
      <c r="AE76" s="31">
        <v>14.01169</v>
      </c>
      <c r="AF76" s="31">
        <v>15.059699999999999</v>
      </c>
      <c r="AG76" s="31">
        <v>16.511690000000002</v>
      </c>
      <c r="AH76" s="31">
        <v>17.059699999999999</v>
      </c>
      <c r="AI76" s="31">
        <f>220/12</f>
        <v>18.333333333333332</v>
      </c>
      <c r="AJ76" s="31">
        <f t="shared" ref="AJ76:AN76" si="23">220/12</f>
        <v>18.333333333333332</v>
      </c>
      <c r="AK76" s="31">
        <f t="shared" si="23"/>
        <v>18.333333333333332</v>
      </c>
      <c r="AL76" s="31">
        <f t="shared" si="23"/>
        <v>18.333333333333332</v>
      </c>
      <c r="AM76" s="31">
        <f t="shared" si="23"/>
        <v>18.333333333333332</v>
      </c>
      <c r="AN76" s="31">
        <f t="shared" si="23"/>
        <v>18.333333333333332</v>
      </c>
    </row>
    <row r="77" spans="18:46">
      <c r="W77" s="31"/>
      <c r="X77" s="31"/>
      <c r="Y77" s="31"/>
      <c r="Z77" s="31"/>
      <c r="AA77" s="31"/>
      <c r="AB77" s="31"/>
      <c r="AC77" s="31"/>
      <c r="AD77" s="31"/>
      <c r="AE77" s="31"/>
      <c r="AF77" s="31"/>
      <c r="AG77" s="31"/>
      <c r="AH77" s="31"/>
      <c r="AI77" s="31"/>
      <c r="AJ77" s="31"/>
      <c r="AK77" s="31"/>
      <c r="AL77" s="31"/>
      <c r="AM77" s="31"/>
      <c r="AN77" s="31"/>
    </row>
    <row r="78" spans="18:46">
      <c r="T78" t="s">
        <v>123</v>
      </c>
      <c r="W78" s="31">
        <f>33.56875/3</f>
        <v>11.189583333333333</v>
      </c>
      <c r="X78" s="31">
        <f t="shared" ref="X78:Y78" si="24">33.56875/3</f>
        <v>11.189583333333333</v>
      </c>
      <c r="Y78" s="31">
        <f t="shared" si="24"/>
        <v>11.189583333333333</v>
      </c>
      <c r="Z78" s="31">
        <v>1</v>
      </c>
      <c r="AA78" s="31"/>
      <c r="AB78" s="31"/>
      <c r="AC78" s="31"/>
      <c r="AD78" s="31"/>
      <c r="AE78" s="31"/>
      <c r="AF78" s="31"/>
      <c r="AG78" s="31"/>
      <c r="AH78" s="31"/>
      <c r="AJ78" s="30"/>
      <c r="AK78" s="30"/>
      <c r="AL78" s="30"/>
      <c r="AM78" s="30"/>
      <c r="AN78" s="30"/>
    </row>
    <row r="79" spans="18:46">
      <c r="AJ79" s="30"/>
      <c r="AK79" s="30"/>
      <c r="AL79" s="30"/>
      <c r="AM79" s="30"/>
      <c r="AN79" s="30"/>
    </row>
    <row r="80" spans="18:46">
      <c r="T80" t="s">
        <v>124</v>
      </c>
      <c r="Z80">
        <f>S43</f>
        <v>0</v>
      </c>
      <c r="AA80">
        <f>$S44</f>
        <v>0</v>
      </c>
      <c r="AB80">
        <f>$S45</f>
        <v>0</v>
      </c>
      <c r="AC80">
        <f>$S46</f>
        <v>0</v>
      </c>
      <c r="AD80">
        <f>$S47</f>
        <v>0</v>
      </c>
      <c r="AE80">
        <f>$S48</f>
        <v>0</v>
      </c>
      <c r="AF80">
        <f>$S49</f>
        <v>0</v>
      </c>
      <c r="AG80">
        <f>$S50</f>
        <v>0</v>
      </c>
      <c r="AH80">
        <f>$S51</f>
        <v>0</v>
      </c>
      <c r="AI80">
        <f>$S52</f>
        <v>0</v>
      </c>
      <c r="AJ80">
        <f>$S53</f>
        <v>0</v>
      </c>
      <c r="AK80">
        <f>$S54</f>
        <v>0</v>
      </c>
      <c r="AL80">
        <f>$S55</f>
        <v>0</v>
      </c>
      <c r="AM80">
        <f>$S56</f>
        <v>0</v>
      </c>
      <c r="AN80">
        <f>$S57</f>
        <v>0</v>
      </c>
    </row>
    <row r="81" spans="20:43">
      <c r="T81" t="s">
        <v>125</v>
      </c>
      <c r="Z81">
        <f>$T43</f>
        <v>0</v>
      </c>
      <c r="AA81">
        <f>$T44</f>
        <v>0</v>
      </c>
      <c r="AB81">
        <f>$T45</f>
        <v>0</v>
      </c>
      <c r="AC81">
        <f>$T46</f>
        <v>0</v>
      </c>
      <c r="AD81">
        <f>$T47</f>
        <v>0</v>
      </c>
      <c r="AE81">
        <f>$T48</f>
        <v>0</v>
      </c>
      <c r="AF81">
        <f>$T49</f>
        <v>0</v>
      </c>
      <c r="AG81">
        <f>$T50</f>
        <v>0</v>
      </c>
      <c r="AH81">
        <f>$T51</f>
        <v>0</v>
      </c>
      <c r="AI81">
        <f>$T52</f>
        <v>0</v>
      </c>
      <c r="AJ81">
        <f>$T53</f>
        <v>0</v>
      </c>
      <c r="AK81">
        <f>$T54</f>
        <v>0</v>
      </c>
      <c r="AL81">
        <f>$T55</f>
        <v>0</v>
      </c>
      <c r="AM81">
        <f>$T56</f>
        <v>0</v>
      </c>
      <c r="AN81">
        <f>$T57</f>
        <v>0</v>
      </c>
    </row>
    <row r="82" spans="20:43">
      <c r="AJ82" s="30"/>
      <c r="AK82" s="30"/>
      <c r="AL82" s="30"/>
      <c r="AM82" s="30"/>
      <c r="AN82" s="30"/>
    </row>
    <row r="83" spans="20:43">
      <c r="T83" t="s">
        <v>36</v>
      </c>
      <c r="V83" s="32">
        <f>V75</f>
        <v>14.501500000000007</v>
      </c>
      <c r="W83" s="32">
        <f>V83+W75-W80</f>
        <v>22.901500000000006</v>
      </c>
      <c r="X83" s="32">
        <f t="shared" ref="X83:AN83" si="25">W83+X75-X80</f>
        <v>31.301500000000004</v>
      </c>
      <c r="Y83" s="32">
        <f t="shared" si="25"/>
        <v>39.701500000000003</v>
      </c>
      <c r="Z83" s="32">
        <f t="shared" si="25"/>
        <v>48.301500000000004</v>
      </c>
      <c r="AA83" s="32">
        <f t="shared" si="25"/>
        <v>56.901500000000006</v>
      </c>
      <c r="AB83" s="32">
        <f t="shared" si="25"/>
        <v>65.501500000000007</v>
      </c>
      <c r="AC83" s="32">
        <f t="shared" si="25"/>
        <v>74.101500000000001</v>
      </c>
      <c r="AD83" s="32">
        <f>AC83+AD75-AD80</f>
        <v>82.701499999999996</v>
      </c>
      <c r="AE83" s="34">
        <f>AD83+AE75-AE80</f>
        <v>91.30149999999999</v>
      </c>
      <c r="AF83" s="32">
        <f t="shared" si="25"/>
        <v>99.901499999999984</v>
      </c>
      <c r="AG83" s="32">
        <f t="shared" si="25"/>
        <v>108.50149999999998</v>
      </c>
      <c r="AH83" s="32">
        <f t="shared" si="25"/>
        <v>117.10149999999997</v>
      </c>
      <c r="AI83" s="32">
        <f t="shared" si="25"/>
        <v>125.70149999999997</v>
      </c>
      <c r="AJ83" s="31">
        <f t="shared" si="25"/>
        <v>134.30149999999998</v>
      </c>
      <c r="AK83" s="31">
        <f t="shared" si="25"/>
        <v>142.90149999999997</v>
      </c>
      <c r="AL83" s="31">
        <f t="shared" si="25"/>
        <v>151.50149999999996</v>
      </c>
      <c r="AM83" s="31">
        <f t="shared" si="25"/>
        <v>160.10149999999996</v>
      </c>
      <c r="AN83" s="31">
        <f t="shared" si="25"/>
        <v>168.70149999999995</v>
      </c>
    </row>
    <row r="84" spans="20:43">
      <c r="T84" t="s">
        <v>35</v>
      </c>
      <c r="V84" s="32">
        <f>V76</f>
        <v>1.8418300000000016</v>
      </c>
      <c r="W84" s="32">
        <f>V84+W76+W77-W78-W81</f>
        <v>4.6639366666666682</v>
      </c>
      <c r="X84" s="32">
        <f t="shared" ref="X84:AN84" si="26">W84+X76+X77-X78-X81</f>
        <v>7.0340533333333344</v>
      </c>
      <c r="Y84" s="32">
        <f t="shared" si="26"/>
        <v>9.8561600000000009</v>
      </c>
      <c r="Z84" s="32">
        <f t="shared" si="26"/>
        <v>15.636009999999999</v>
      </c>
      <c r="AA84" s="32">
        <f t="shared" si="26"/>
        <v>29.6477</v>
      </c>
      <c r="AB84" s="32">
        <f t="shared" si="26"/>
        <v>43.2074</v>
      </c>
      <c r="AC84" s="32">
        <f t="shared" si="26"/>
        <v>57.219090000000001</v>
      </c>
      <c r="AD84" s="32">
        <f>AC84+AD76+AD77-AD78-AD81</f>
        <v>70.778790000000001</v>
      </c>
      <c r="AE84" s="34">
        <f t="shared" si="26"/>
        <v>84.790480000000002</v>
      </c>
      <c r="AF84" s="34">
        <f t="shared" si="26"/>
        <v>99.850179999999995</v>
      </c>
      <c r="AG84" s="32">
        <f t="shared" si="26"/>
        <v>116.36187</v>
      </c>
      <c r="AH84" s="32">
        <f t="shared" si="26"/>
        <v>133.42157</v>
      </c>
      <c r="AI84" s="32">
        <f t="shared" si="26"/>
        <v>151.75490333333335</v>
      </c>
      <c r="AJ84" s="31">
        <f t="shared" si="26"/>
        <v>170.08823666666669</v>
      </c>
      <c r="AK84" s="31">
        <f t="shared" si="26"/>
        <v>188.42157000000003</v>
      </c>
      <c r="AL84" s="31">
        <f t="shared" si="26"/>
        <v>206.75490333333337</v>
      </c>
      <c r="AM84" s="31">
        <f t="shared" si="26"/>
        <v>225.08823666666672</v>
      </c>
      <c r="AN84" s="31">
        <f t="shared" si="26"/>
        <v>243.42157000000006</v>
      </c>
      <c r="AO84" s="32"/>
      <c r="AP84" s="32"/>
      <c r="AQ84" s="32"/>
    </row>
    <row r="86" spans="20:43">
      <c r="T86" t="s">
        <v>36</v>
      </c>
      <c r="V86">
        <v>14.501500000000007</v>
      </c>
      <c r="W86">
        <v>22.901500000000006</v>
      </c>
      <c r="X86">
        <v>31.301500000000004</v>
      </c>
      <c r="Y86">
        <v>39.701500000000003</v>
      </c>
      <c r="Z86">
        <v>33.301500000000004</v>
      </c>
      <c r="AA86">
        <v>26.901500000000006</v>
      </c>
      <c r="AB86">
        <v>5.5015000000000072</v>
      </c>
      <c r="AC86">
        <v>14.101500000000007</v>
      </c>
      <c r="AD86">
        <v>22.701500000000006</v>
      </c>
      <c r="AE86">
        <v>16.301500000000004</v>
      </c>
      <c r="AF86">
        <v>9.9015000000000057</v>
      </c>
      <c r="AG86">
        <v>8.5015000000000072</v>
      </c>
      <c r="AH86">
        <v>7.1015000000000086</v>
      </c>
      <c r="AI86">
        <v>15.701500000000008</v>
      </c>
    </row>
    <row r="87" spans="20:43">
      <c r="T87" t="s">
        <v>35</v>
      </c>
      <c r="V87">
        <v>1.8418300000000016</v>
      </c>
      <c r="W87">
        <v>4.6639366666666682</v>
      </c>
      <c r="X87">
        <v>7.0340533333333344</v>
      </c>
      <c r="Y87">
        <v>9.8561600000000009</v>
      </c>
      <c r="Z87">
        <v>15.636009999999999</v>
      </c>
      <c r="AA87">
        <v>19.6477</v>
      </c>
      <c r="AB87">
        <v>18.2074</v>
      </c>
      <c r="AC87">
        <v>32.219090000000001</v>
      </c>
      <c r="AD87">
        <v>15.778790000000001</v>
      </c>
      <c r="AE87">
        <v>14.790480000000002</v>
      </c>
      <c r="AF87">
        <v>14.850180000000002</v>
      </c>
      <c r="AG87">
        <v>16.361870000000003</v>
      </c>
      <c r="AH87">
        <v>18.421570000000003</v>
      </c>
      <c r="AI87">
        <v>36.754903333333331</v>
      </c>
    </row>
  </sheetData>
  <sheetProtection deleteColumns="0" deleteRows="0"/>
  <protectedRanges>
    <protectedRange sqref="F8:F10 K3:M3 T34:Y35 H3:I3 R43:R57 C3:F3 C34:F35 E8:E9 I5:M15 E22:E23 AG31:AH35 T31:X33 F22:F24 AJ31:AJ35 E16:F21 AJ8:AJ30 T3:X30 AG3:AH30 H16:M30 H31:M35 E25:F30 E31:F33" name="можно"/>
    <protectedRange sqref="J3" name="можно_3"/>
    <protectedRange sqref="AJ3:AJ7" name="можно_4"/>
    <protectedRange sqref="C5:D6" name="можно_5"/>
    <protectedRange sqref="C7:D7" name="можно_6"/>
    <protectedRange sqref="C32:C33 D32 C8:D13 C28:D28 C29:D29 C18:D21 C25:D27 C16:D17 C22:D23 C31:D31" name="можно_7"/>
    <protectedRange sqref="E7:F7" name="можно_11"/>
    <protectedRange sqref="D33 C30:D30 C24:E24" name="можно_24"/>
    <protectedRange sqref="E10:E15" name="можно_8"/>
    <protectedRange sqref="F13:F15" name="можно_14"/>
    <protectedRange sqref="F11" name="можно_5_3"/>
    <protectedRange sqref="AK5 U5:X5 AH5 I5:N5" name="можно_10"/>
    <protectedRange sqref="D5" name="можно_7_2"/>
    <protectedRange sqref="G5" name="можно_8_2"/>
    <protectedRange sqref="C4" name="можно_7_1"/>
    <protectedRange sqref="H4:M4" name="можно_2"/>
    <protectedRange sqref="D4" name="можно_7_3"/>
    <protectedRange sqref="E4:F4" name="можно_8_1"/>
    <protectedRange sqref="C14:D15" name="можно_7_4"/>
    <protectedRange sqref="H11:H14" name="можно_12"/>
    <protectedRange sqref="H15" name="можно_13"/>
    <protectedRange sqref="E5:E6" name="можно_9_1"/>
    <protectedRange sqref="F5:F6" name="можно_9_2"/>
    <protectedRange sqref="H5:H6" name="можно_1"/>
    <protectedRange sqref="H7" name="можно_15"/>
    <protectedRange sqref="H8:H10" name="можно_18"/>
  </protectedRanges>
  <autoFilter ref="B2:AI33"/>
  <mergeCells count="18">
    <mergeCell ref="C32:C33"/>
    <mergeCell ref="A25:A26"/>
    <mergeCell ref="A32:A33"/>
    <mergeCell ref="C22:C24"/>
    <mergeCell ref="A22:A24"/>
    <mergeCell ref="C19:C21"/>
    <mergeCell ref="A19:A21"/>
    <mergeCell ref="A28:A30"/>
    <mergeCell ref="C28:C30"/>
    <mergeCell ref="C11:C14"/>
    <mergeCell ref="A11:A14"/>
    <mergeCell ref="C25:C26"/>
    <mergeCell ref="H5:H6"/>
    <mergeCell ref="A5:A6"/>
    <mergeCell ref="A1:AJ1"/>
    <mergeCell ref="C5:C6"/>
    <mergeCell ref="C3:C4"/>
    <mergeCell ref="A3:A4"/>
  </mergeCells>
  <conditionalFormatting sqref="V62:W70">
    <cfRule type="cellIs" dxfId="1" priority="2" operator="lessThan">
      <formula>0</formula>
    </cfRule>
  </conditionalFormatting>
  <conditionalFormatting sqref="V3:V4">
    <cfRule type="expression" dxfId="0" priority="1">
      <formula>V3&lt;U3</formula>
    </cfRule>
  </conditionalFormatting>
  <pageMargins left="0.70866141732283472" right="0.70866141732283472" top="0.74803149606299213" bottom="0.74803149606299213" header="0.31496062992125984" footer="0.31496062992125984"/>
  <pageSetup paperSize="8" scale="4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17"/>
  <sheetViews>
    <sheetView tabSelected="1" view="pageBreakPreview" zoomScale="70" zoomScaleNormal="68" zoomScaleSheetLayoutView="70" workbookViewId="0"/>
  </sheetViews>
  <sheetFormatPr defaultColWidth="9.36328125" defaultRowHeight="15.5"/>
  <cols>
    <col min="1" max="1" width="7.453125" style="258" customWidth="1"/>
    <col min="2" max="2" width="85.36328125" style="258" customWidth="1"/>
    <col min="3" max="3" width="14.54296875" style="259" customWidth="1"/>
    <col min="4" max="4" width="18.36328125" style="264" customWidth="1"/>
    <col min="5" max="5" width="14.453125" style="259" customWidth="1"/>
    <col min="6" max="6" width="17" style="259" customWidth="1"/>
    <col min="7" max="7" width="22.81640625" style="260" customWidth="1"/>
    <col min="8" max="16384" width="9.36328125" style="258"/>
  </cols>
  <sheetData>
    <row r="1" spans="1:249" ht="18.75" customHeight="1">
      <c r="A1" s="395"/>
      <c r="C1" s="396"/>
      <c r="E1" s="397"/>
      <c r="F1" s="397"/>
      <c r="G1" s="398"/>
    </row>
    <row r="2" spans="1:249" ht="18.75" customHeight="1">
      <c r="A2" s="401" t="s">
        <v>585</v>
      </c>
      <c r="B2" s="402"/>
      <c r="C2" s="403"/>
      <c r="D2" s="404"/>
      <c r="E2" s="404"/>
      <c r="F2" s="404"/>
      <c r="G2" s="404"/>
    </row>
    <row r="3" spans="1:249" ht="18.75" customHeight="1">
      <c r="A3" s="405"/>
      <c r="B3" s="405"/>
      <c r="C3" s="564"/>
      <c r="D3" s="564"/>
      <c r="E3" s="564"/>
      <c r="F3" s="406"/>
      <c r="G3" s="406"/>
    </row>
    <row r="4" spans="1:249" ht="18.75" customHeight="1">
      <c r="A4" s="407" t="s">
        <v>586</v>
      </c>
      <c r="B4" s="408" t="s">
        <v>587</v>
      </c>
      <c r="C4" s="408"/>
      <c r="D4" s="408"/>
      <c r="E4" s="408"/>
      <c r="F4" s="408"/>
      <c r="G4" s="408"/>
    </row>
    <row r="5" spans="1:249" ht="18.75" customHeight="1">
      <c r="A5" s="399"/>
      <c r="B5" s="399"/>
      <c r="C5" s="400"/>
      <c r="D5" s="400"/>
      <c r="E5" s="400"/>
      <c r="F5" s="400"/>
      <c r="G5" s="400"/>
    </row>
    <row r="6" spans="1:249" ht="18.75" customHeight="1">
      <c r="A6" s="401" t="s">
        <v>588</v>
      </c>
      <c r="B6" s="401"/>
      <c r="C6" s="409"/>
      <c r="D6" s="409"/>
      <c r="E6" s="409"/>
      <c r="F6" s="409"/>
      <c r="G6" s="409"/>
    </row>
    <row r="7" spans="1:249" ht="18.75" customHeight="1">
      <c r="A7" s="401" t="s">
        <v>589</v>
      </c>
      <c r="B7" s="401"/>
      <c r="C7" s="409"/>
      <c r="D7" s="409"/>
      <c r="E7" s="409"/>
      <c r="F7" s="409"/>
      <c r="G7" s="409"/>
    </row>
    <row r="8" spans="1:249" s="260" customFormat="1">
      <c r="A8" s="387" t="s">
        <v>608</v>
      </c>
      <c r="B8" s="261"/>
      <c r="C8" s="372"/>
      <c r="D8" s="394"/>
      <c r="E8" s="394"/>
      <c r="F8" s="394"/>
      <c r="G8" s="394"/>
    </row>
    <row r="9" spans="1:249" s="260" customFormat="1">
      <c r="A9" s="387" t="s">
        <v>590</v>
      </c>
      <c r="B9" s="261"/>
      <c r="C9" s="372"/>
      <c r="D9" s="394"/>
      <c r="E9" s="394"/>
      <c r="F9" s="394"/>
      <c r="G9" s="394"/>
    </row>
    <row r="10" spans="1:249" s="260" customFormat="1">
      <c r="A10" s="387"/>
      <c r="B10" s="261"/>
      <c r="C10" s="372"/>
      <c r="D10" s="394"/>
      <c r="E10" s="394"/>
      <c r="F10" s="394"/>
      <c r="G10" s="394"/>
    </row>
    <row r="11" spans="1:249" s="260" customFormat="1" ht="16" thickBot="1">
      <c r="A11" s="571" t="s">
        <v>218</v>
      </c>
      <c r="B11" s="571"/>
      <c r="C11" s="571"/>
      <c r="D11" s="571"/>
      <c r="E11" s="571"/>
      <c r="F11" s="571"/>
      <c r="G11" s="571"/>
    </row>
    <row r="12" spans="1:249" ht="16" thickBot="1">
      <c r="A12" s="542" t="s">
        <v>281</v>
      </c>
      <c r="B12" s="543"/>
      <c r="C12" s="543"/>
      <c r="D12" s="543"/>
      <c r="E12" s="543"/>
      <c r="F12" s="543"/>
      <c r="G12" s="543"/>
      <c r="H12" s="261"/>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c r="IO12" s="260"/>
    </row>
    <row r="13" spans="1:249" s="382" customFormat="1" ht="42" customHeight="1" thickBot="1">
      <c r="A13" s="565" t="s">
        <v>219</v>
      </c>
      <c r="B13" s="565" t="s">
        <v>220</v>
      </c>
      <c r="C13" s="544" t="s">
        <v>246</v>
      </c>
      <c r="D13" s="545"/>
      <c r="E13" s="546" t="s">
        <v>221</v>
      </c>
      <c r="F13" s="546"/>
      <c r="G13" s="572" t="s">
        <v>591</v>
      </c>
      <c r="H13" s="380"/>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c r="FC13" s="381"/>
      <c r="FD13" s="381"/>
      <c r="FE13" s="381"/>
      <c r="FF13" s="381"/>
      <c r="FG13" s="381"/>
      <c r="FH13" s="381"/>
      <c r="FI13" s="381"/>
      <c r="FJ13" s="381"/>
      <c r="FK13" s="381"/>
      <c r="FL13" s="381"/>
      <c r="FM13" s="381"/>
      <c r="FN13" s="381"/>
      <c r="FO13" s="381"/>
      <c r="FP13" s="381"/>
      <c r="FQ13" s="381"/>
      <c r="FR13" s="381"/>
      <c r="FS13" s="381"/>
      <c r="FT13" s="381"/>
      <c r="FU13" s="381"/>
      <c r="FV13" s="381"/>
      <c r="FW13" s="381"/>
      <c r="FX13" s="381"/>
      <c r="FY13" s="381"/>
      <c r="FZ13" s="381"/>
      <c r="GA13" s="381"/>
      <c r="GB13" s="381"/>
      <c r="GC13" s="381"/>
      <c r="GD13" s="381"/>
      <c r="GE13" s="381"/>
      <c r="GF13" s="381"/>
      <c r="GG13" s="381"/>
      <c r="GH13" s="381"/>
      <c r="GI13" s="381"/>
      <c r="GJ13" s="381"/>
      <c r="GK13" s="381"/>
      <c r="GL13" s="381"/>
      <c r="GM13" s="381"/>
      <c r="GN13" s="381"/>
      <c r="GO13" s="381"/>
      <c r="GP13" s="381"/>
      <c r="GQ13" s="381"/>
      <c r="GR13" s="381"/>
      <c r="GS13" s="381"/>
      <c r="GT13" s="381"/>
      <c r="GU13" s="381"/>
      <c r="GV13" s="381"/>
      <c r="GW13" s="381"/>
      <c r="GX13" s="381"/>
      <c r="GY13" s="381"/>
      <c r="GZ13" s="381"/>
      <c r="HA13" s="381"/>
      <c r="HB13" s="381"/>
      <c r="HC13" s="381"/>
      <c r="HD13" s="381"/>
      <c r="HE13" s="381"/>
      <c r="HF13" s="381"/>
      <c r="HG13" s="381"/>
      <c r="HH13" s="381"/>
      <c r="HI13" s="381"/>
      <c r="HJ13" s="381"/>
      <c r="HK13" s="381"/>
      <c r="HL13" s="381"/>
      <c r="HM13" s="381"/>
      <c r="HN13" s="381"/>
      <c r="HO13" s="381"/>
      <c r="HP13" s="381"/>
      <c r="HQ13" s="381"/>
      <c r="HR13" s="381"/>
      <c r="HS13" s="381"/>
      <c r="HT13" s="381"/>
      <c r="HU13" s="381"/>
      <c r="HV13" s="381"/>
      <c r="HW13" s="381"/>
      <c r="HX13" s="381"/>
      <c r="HY13" s="381"/>
      <c r="HZ13" s="381"/>
      <c r="IA13" s="381"/>
      <c r="IB13" s="381"/>
      <c r="IC13" s="381"/>
      <c r="ID13" s="381"/>
      <c r="IE13" s="381"/>
      <c r="IF13" s="381"/>
      <c r="IG13" s="381"/>
      <c r="IH13" s="381"/>
      <c r="II13" s="381"/>
      <c r="IJ13" s="381"/>
      <c r="IK13" s="381"/>
      <c r="IL13" s="381"/>
      <c r="IM13" s="381"/>
      <c r="IN13" s="381"/>
      <c r="IO13" s="381"/>
    </row>
    <row r="14" spans="1:249" s="382" customFormat="1" ht="20" customHeight="1" thickBot="1">
      <c r="A14" s="566"/>
      <c r="B14" s="566"/>
      <c r="C14" s="547" t="s">
        <v>222</v>
      </c>
      <c r="D14" s="549" t="s">
        <v>223</v>
      </c>
      <c r="E14" s="551" t="s">
        <v>610</v>
      </c>
      <c r="F14" s="553" t="s">
        <v>611</v>
      </c>
      <c r="G14" s="573"/>
      <c r="H14" s="380"/>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c r="FI14" s="381"/>
      <c r="FJ14" s="381"/>
      <c r="FK14" s="381"/>
      <c r="FL14" s="381"/>
      <c r="FM14" s="381"/>
      <c r="FN14" s="381"/>
      <c r="FO14" s="381"/>
      <c r="FP14" s="381"/>
      <c r="FQ14" s="381"/>
      <c r="FR14" s="381"/>
      <c r="FS14" s="381"/>
      <c r="FT14" s="381"/>
      <c r="FU14" s="381"/>
      <c r="FV14" s="381"/>
      <c r="FW14" s="381"/>
      <c r="FX14" s="381"/>
      <c r="FY14" s="381"/>
      <c r="FZ14" s="381"/>
      <c r="GA14" s="381"/>
      <c r="GB14" s="381"/>
      <c r="GC14" s="381"/>
      <c r="GD14" s="381"/>
      <c r="GE14" s="381"/>
      <c r="GF14" s="381"/>
      <c r="GG14" s="381"/>
      <c r="GH14" s="381"/>
      <c r="GI14" s="381"/>
      <c r="GJ14" s="381"/>
      <c r="GK14" s="381"/>
      <c r="GL14" s="381"/>
      <c r="GM14" s="381"/>
      <c r="GN14" s="381"/>
      <c r="GO14" s="381"/>
      <c r="GP14" s="381"/>
      <c r="GQ14" s="381"/>
      <c r="GR14" s="381"/>
      <c r="GS14" s="381"/>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c r="HV14" s="381"/>
      <c r="HW14" s="381"/>
      <c r="HX14" s="381"/>
      <c r="HY14" s="381"/>
      <c r="HZ14" s="381"/>
      <c r="IA14" s="381"/>
      <c r="IB14" s="381"/>
      <c r="IC14" s="381"/>
      <c r="ID14" s="381"/>
      <c r="IE14" s="381"/>
      <c r="IF14" s="381"/>
      <c r="IG14" s="381"/>
      <c r="IH14" s="381"/>
      <c r="II14" s="381"/>
      <c r="IJ14" s="381"/>
      <c r="IK14" s="381"/>
      <c r="IL14" s="381"/>
      <c r="IM14" s="381"/>
      <c r="IN14" s="381"/>
      <c r="IO14" s="381"/>
    </row>
    <row r="15" spans="1:249" s="382" customFormat="1" ht="17.399999999999999" customHeight="1" thickBot="1">
      <c r="A15" s="567" t="s">
        <v>224</v>
      </c>
      <c r="B15" s="568"/>
      <c r="C15" s="548"/>
      <c r="D15" s="550"/>
      <c r="E15" s="552"/>
      <c r="F15" s="554"/>
      <c r="G15" s="574"/>
      <c r="H15" s="380"/>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c r="FI15" s="381"/>
      <c r="FJ15" s="381"/>
      <c r="FK15" s="381"/>
      <c r="FL15" s="381"/>
      <c r="FM15" s="381"/>
      <c r="FN15" s="381"/>
      <c r="FO15" s="381"/>
      <c r="FP15" s="381"/>
      <c r="FQ15" s="381"/>
      <c r="FR15" s="381"/>
      <c r="FS15" s="381"/>
      <c r="FT15" s="381"/>
      <c r="FU15" s="381"/>
      <c r="FV15" s="381"/>
      <c r="FW15" s="381"/>
      <c r="FX15" s="381"/>
      <c r="FY15" s="381"/>
      <c r="FZ15" s="381"/>
      <c r="GA15" s="381"/>
      <c r="GB15" s="381"/>
      <c r="GC15" s="381"/>
      <c r="GD15" s="381"/>
      <c r="GE15" s="381"/>
      <c r="GF15" s="381"/>
      <c r="GG15" s="381"/>
      <c r="GH15" s="381"/>
      <c r="GI15" s="381"/>
      <c r="GJ15" s="381"/>
      <c r="GK15" s="381"/>
      <c r="GL15" s="381"/>
      <c r="GM15" s="381"/>
      <c r="GN15" s="381"/>
      <c r="GO15" s="381"/>
      <c r="GP15" s="381"/>
      <c r="GQ15" s="381"/>
      <c r="GR15" s="381"/>
      <c r="GS15" s="381"/>
      <c r="GT15" s="381"/>
      <c r="GU15" s="381"/>
      <c r="GV15" s="381"/>
      <c r="GW15" s="381"/>
      <c r="GX15" s="381"/>
      <c r="GY15" s="381"/>
      <c r="GZ15" s="381"/>
      <c r="HA15" s="381"/>
      <c r="HB15" s="381"/>
      <c r="HC15" s="381"/>
      <c r="HD15" s="381"/>
      <c r="HE15" s="381"/>
      <c r="HF15" s="381"/>
      <c r="HG15" s="381"/>
      <c r="HH15" s="381"/>
      <c r="HI15" s="381"/>
      <c r="HJ15" s="381"/>
      <c r="HK15" s="381"/>
      <c r="HL15" s="381"/>
      <c r="HM15" s="381"/>
      <c r="HN15" s="381"/>
      <c r="HO15" s="381"/>
      <c r="HP15" s="381"/>
      <c r="HQ15" s="381"/>
      <c r="HR15" s="381"/>
      <c r="HS15" s="381"/>
      <c r="HT15" s="381"/>
      <c r="HU15" s="381"/>
      <c r="HV15" s="381"/>
      <c r="HW15" s="381"/>
      <c r="HX15" s="381"/>
      <c r="HY15" s="381"/>
      <c r="HZ15" s="381"/>
      <c r="IA15" s="381"/>
      <c r="IB15" s="381"/>
      <c r="IC15" s="381"/>
      <c r="ID15" s="381"/>
      <c r="IE15" s="381"/>
      <c r="IF15" s="381"/>
      <c r="IG15" s="381"/>
      <c r="IH15" s="381"/>
      <c r="II15" s="381"/>
      <c r="IJ15" s="381"/>
      <c r="IK15" s="381"/>
      <c r="IL15" s="381"/>
      <c r="IM15" s="381"/>
      <c r="IN15" s="381"/>
      <c r="IO15" s="381"/>
    </row>
    <row r="16" spans="1:249" s="260" customFormat="1">
      <c r="A16" s="334">
        <v>1</v>
      </c>
      <c r="B16" s="335" t="s">
        <v>415</v>
      </c>
      <c r="C16" s="308" t="s">
        <v>259</v>
      </c>
      <c r="D16" s="329">
        <f>1</f>
        <v>1</v>
      </c>
      <c r="E16" s="243"/>
      <c r="F16" s="266">
        <f>E16*D16</f>
        <v>0</v>
      </c>
      <c r="G16" s="475"/>
      <c r="H16" s="261"/>
    </row>
    <row r="17" spans="1:8" s="260" customFormat="1" ht="34.5" customHeight="1">
      <c r="A17" s="311" t="s">
        <v>242</v>
      </c>
      <c r="B17" s="312" t="s">
        <v>258</v>
      </c>
      <c r="C17" s="309" t="s">
        <v>259</v>
      </c>
      <c r="D17" s="329">
        <f>1</f>
        <v>1</v>
      </c>
      <c r="E17" s="266"/>
      <c r="F17" s="266">
        <f t="shared" ref="F17:F80" si="0">E17*D17</f>
        <v>0</v>
      </c>
      <c r="G17" s="476"/>
      <c r="H17" s="261"/>
    </row>
    <row r="18" spans="1:8" s="260" customFormat="1" ht="33.75" customHeight="1">
      <c r="A18" s="311" t="s">
        <v>249</v>
      </c>
      <c r="B18" s="312" t="s">
        <v>387</v>
      </c>
      <c r="C18" s="309" t="s">
        <v>260</v>
      </c>
      <c r="D18" s="272">
        <v>8</v>
      </c>
      <c r="E18" s="267"/>
      <c r="F18" s="266">
        <f t="shared" si="0"/>
        <v>0</v>
      </c>
      <c r="G18" s="476"/>
      <c r="H18" s="261"/>
    </row>
    <row r="19" spans="1:8" s="260" customFormat="1" ht="33" customHeight="1">
      <c r="A19" s="311" t="s">
        <v>250</v>
      </c>
      <c r="B19" s="312" t="s">
        <v>261</v>
      </c>
      <c r="C19" s="309" t="s">
        <v>225</v>
      </c>
      <c r="D19" s="272">
        <v>4000</v>
      </c>
      <c r="E19" s="267"/>
      <c r="F19" s="266">
        <f t="shared" si="0"/>
        <v>0</v>
      </c>
      <c r="G19" s="476"/>
      <c r="H19" s="261"/>
    </row>
    <row r="20" spans="1:8" s="260" customFormat="1" ht="91.5" customHeight="1">
      <c r="A20" s="311" t="s">
        <v>251</v>
      </c>
      <c r="B20" s="312" t="s">
        <v>416</v>
      </c>
      <c r="C20" s="309" t="s">
        <v>259</v>
      </c>
      <c r="D20" s="272">
        <f>1</f>
        <v>1</v>
      </c>
      <c r="E20" s="267"/>
      <c r="F20" s="266">
        <f t="shared" si="0"/>
        <v>0</v>
      </c>
      <c r="G20" s="476"/>
      <c r="H20" s="261"/>
    </row>
    <row r="21" spans="1:8" s="260" customFormat="1" ht="32.25" customHeight="1">
      <c r="A21" s="313">
        <v>6</v>
      </c>
      <c r="B21" s="312" t="s">
        <v>417</v>
      </c>
      <c r="C21" s="309" t="s">
        <v>259</v>
      </c>
      <c r="D21" s="272">
        <v>1</v>
      </c>
      <c r="E21" s="267"/>
      <c r="F21" s="266">
        <f t="shared" si="0"/>
        <v>0</v>
      </c>
      <c r="G21" s="476"/>
      <c r="H21" s="261"/>
    </row>
    <row r="22" spans="1:8" s="260" customFormat="1" ht="34.5" customHeight="1">
      <c r="A22" s="314" t="s">
        <v>262</v>
      </c>
      <c r="B22" s="315" t="s">
        <v>418</v>
      </c>
      <c r="C22" s="309" t="s">
        <v>228</v>
      </c>
      <c r="D22" s="272">
        <v>1</v>
      </c>
      <c r="E22" s="267"/>
      <c r="F22" s="266">
        <f t="shared" si="0"/>
        <v>0</v>
      </c>
      <c r="G22" s="476"/>
      <c r="H22" s="261"/>
    </row>
    <row r="23" spans="1:8" s="260" customFormat="1" ht="34.5" customHeight="1">
      <c r="A23" s="313">
        <v>7</v>
      </c>
      <c r="B23" s="312" t="s">
        <v>419</v>
      </c>
      <c r="C23" s="309" t="s">
        <v>259</v>
      </c>
      <c r="D23" s="272">
        <v>1</v>
      </c>
      <c r="E23" s="278"/>
      <c r="F23" s="266">
        <f t="shared" si="0"/>
        <v>0</v>
      </c>
      <c r="G23" s="476"/>
      <c r="H23" s="261"/>
    </row>
    <row r="24" spans="1:8" s="260" customFormat="1" ht="41.25" customHeight="1">
      <c r="A24" s="314" t="s">
        <v>275</v>
      </c>
      <c r="B24" s="315" t="s">
        <v>420</v>
      </c>
      <c r="C24" s="309" t="s">
        <v>228</v>
      </c>
      <c r="D24" s="272">
        <v>1</v>
      </c>
      <c r="E24" s="278"/>
      <c r="F24" s="266">
        <f t="shared" si="0"/>
        <v>0</v>
      </c>
      <c r="G24" s="476"/>
      <c r="H24" s="261"/>
    </row>
    <row r="25" spans="1:8" s="260" customFormat="1" ht="49.5" customHeight="1">
      <c r="A25" s="311" t="s">
        <v>276</v>
      </c>
      <c r="B25" s="312" t="s">
        <v>421</v>
      </c>
      <c r="C25" s="309" t="s">
        <v>259</v>
      </c>
      <c r="D25" s="272">
        <v>1</v>
      </c>
      <c r="E25" s="267"/>
      <c r="F25" s="266">
        <f t="shared" si="0"/>
        <v>0</v>
      </c>
      <c r="G25" s="476"/>
      <c r="H25" s="261"/>
    </row>
    <row r="26" spans="1:8" s="260" customFormat="1" ht="258" customHeight="1">
      <c r="A26" s="313">
        <v>8</v>
      </c>
      <c r="B26" s="312" t="s">
        <v>385</v>
      </c>
      <c r="C26" s="309" t="s">
        <v>259</v>
      </c>
      <c r="D26" s="271">
        <v>1</v>
      </c>
      <c r="E26" s="267"/>
      <c r="F26" s="266">
        <f t="shared" si="0"/>
        <v>0</v>
      </c>
      <c r="G26" s="476"/>
      <c r="H26" s="261"/>
    </row>
    <row r="27" spans="1:8" s="260" customFormat="1" ht="69.75" customHeight="1">
      <c r="A27" s="311" t="s">
        <v>267</v>
      </c>
      <c r="B27" s="312" t="s">
        <v>422</v>
      </c>
      <c r="C27" s="309" t="s">
        <v>227</v>
      </c>
      <c r="D27" s="329">
        <v>27</v>
      </c>
      <c r="E27" s="245"/>
      <c r="F27" s="266">
        <f t="shared" si="0"/>
        <v>0</v>
      </c>
      <c r="G27" s="476"/>
      <c r="H27" s="261"/>
    </row>
    <row r="28" spans="1:8" s="260" customFormat="1" ht="69" customHeight="1">
      <c r="A28" s="311" t="s">
        <v>252</v>
      </c>
      <c r="B28" s="312" t="s">
        <v>423</v>
      </c>
      <c r="C28" s="309" t="s">
        <v>266</v>
      </c>
      <c r="D28" s="257">
        <v>3700</v>
      </c>
      <c r="E28" s="257"/>
      <c r="F28" s="266">
        <f t="shared" si="0"/>
        <v>0</v>
      </c>
      <c r="G28" s="476"/>
      <c r="H28" s="261"/>
    </row>
    <row r="29" spans="1:8" s="260" customFormat="1">
      <c r="A29" s="311" t="s">
        <v>253</v>
      </c>
      <c r="B29" s="312" t="s">
        <v>274</v>
      </c>
      <c r="C29" s="309"/>
      <c r="D29" s="329"/>
      <c r="E29" s="245"/>
      <c r="F29" s="266">
        <f t="shared" si="0"/>
        <v>0</v>
      </c>
      <c r="G29" s="476"/>
      <c r="H29" s="261"/>
    </row>
    <row r="30" spans="1:8" s="260" customFormat="1" ht="102" customHeight="1">
      <c r="A30" s="314" t="s">
        <v>333</v>
      </c>
      <c r="B30" s="315" t="s">
        <v>424</v>
      </c>
      <c r="C30" s="309" t="s">
        <v>229</v>
      </c>
      <c r="D30" s="257">
        <f>18*D32</f>
        <v>3474</v>
      </c>
      <c r="E30" s="257"/>
      <c r="F30" s="266">
        <f t="shared" si="0"/>
        <v>0</v>
      </c>
      <c r="G30" s="476"/>
      <c r="H30" s="261"/>
    </row>
    <row r="31" spans="1:8" s="260" customFormat="1" ht="101.25" customHeight="1">
      <c r="A31" s="314" t="s">
        <v>268</v>
      </c>
      <c r="B31" s="315" t="s">
        <v>425</v>
      </c>
      <c r="C31" s="309" t="s">
        <v>229</v>
      </c>
      <c r="D31" s="257">
        <f>16*D33</f>
        <v>12480</v>
      </c>
      <c r="E31" s="278"/>
      <c r="F31" s="266">
        <f t="shared" si="0"/>
        <v>0</v>
      </c>
      <c r="G31" s="476"/>
      <c r="H31" s="261"/>
    </row>
    <row r="32" spans="1:8" s="260" customFormat="1" ht="95.25" customHeight="1">
      <c r="A32" s="314" t="s">
        <v>334</v>
      </c>
      <c r="B32" s="315" t="s">
        <v>426</v>
      </c>
      <c r="C32" s="309" t="s">
        <v>229</v>
      </c>
      <c r="D32" s="257">
        <v>193</v>
      </c>
      <c r="E32" s="50"/>
      <c r="F32" s="266">
        <f t="shared" si="0"/>
        <v>0</v>
      </c>
      <c r="G32" s="476"/>
      <c r="H32" s="261"/>
    </row>
    <row r="33" spans="1:8" s="260" customFormat="1" ht="99.75" customHeight="1">
      <c r="A33" s="314" t="s">
        <v>335</v>
      </c>
      <c r="B33" s="315" t="s">
        <v>427</v>
      </c>
      <c r="C33" s="309" t="s">
        <v>229</v>
      </c>
      <c r="D33" s="257">
        <v>780</v>
      </c>
      <c r="E33" s="278"/>
      <c r="F33" s="266">
        <f t="shared" si="0"/>
        <v>0</v>
      </c>
      <c r="G33" s="476"/>
      <c r="H33" s="261"/>
    </row>
    <row r="34" spans="1:8" s="260" customFormat="1" ht="103.25" customHeight="1">
      <c r="A34" s="314" t="s">
        <v>572</v>
      </c>
      <c r="B34" s="353" t="s">
        <v>573</v>
      </c>
      <c r="C34" s="343" t="s">
        <v>229</v>
      </c>
      <c r="D34" s="350">
        <v>48634</v>
      </c>
      <c r="E34" s="347"/>
      <c r="F34" s="266">
        <f t="shared" si="0"/>
        <v>0</v>
      </c>
      <c r="G34" s="476"/>
      <c r="H34" s="261"/>
    </row>
    <row r="35" spans="1:8" s="260" customFormat="1" ht="35.25" customHeight="1">
      <c r="A35" s="311" t="s">
        <v>254</v>
      </c>
      <c r="B35" s="316" t="s">
        <v>263</v>
      </c>
      <c r="C35" s="383"/>
      <c r="D35" s="257"/>
      <c r="E35" s="245"/>
      <c r="F35" s="266">
        <f t="shared" si="0"/>
        <v>0</v>
      </c>
      <c r="G35" s="476"/>
      <c r="H35" s="261"/>
    </row>
    <row r="36" spans="1:8" s="260" customFormat="1" ht="109.5" customHeight="1">
      <c r="A36" s="314" t="s">
        <v>255</v>
      </c>
      <c r="B36" s="315" t="s">
        <v>428</v>
      </c>
      <c r="C36" s="309" t="s">
        <v>229</v>
      </c>
      <c r="D36" s="257">
        <f>3</f>
        <v>3</v>
      </c>
      <c r="E36" s="273"/>
      <c r="F36" s="266">
        <f t="shared" si="0"/>
        <v>0</v>
      </c>
      <c r="G36" s="476"/>
      <c r="H36" s="261"/>
    </row>
    <row r="37" spans="1:8" s="260" customFormat="1" ht="95.25" customHeight="1">
      <c r="A37" s="314" t="s">
        <v>256</v>
      </c>
      <c r="B37" s="315" t="s">
        <v>429</v>
      </c>
      <c r="C37" s="309" t="s">
        <v>229</v>
      </c>
      <c r="D37" s="289">
        <f>59+4</f>
        <v>63</v>
      </c>
      <c r="E37" s="285"/>
      <c r="F37" s="266">
        <f t="shared" si="0"/>
        <v>0</v>
      </c>
      <c r="G37" s="476"/>
      <c r="H37" s="261"/>
    </row>
    <row r="38" spans="1:8" s="260" customFormat="1" ht="115.25" customHeight="1">
      <c r="A38" s="314" t="s">
        <v>315</v>
      </c>
      <c r="B38" s="315" t="s">
        <v>430</v>
      </c>
      <c r="C38" s="309" t="s">
        <v>229</v>
      </c>
      <c r="D38" s="279">
        <v>1</v>
      </c>
      <c r="E38" s="278"/>
      <c r="F38" s="266">
        <f t="shared" si="0"/>
        <v>0</v>
      </c>
      <c r="G38" s="476"/>
      <c r="H38" s="261"/>
    </row>
    <row r="39" spans="1:8" s="260" customFormat="1" ht="107.25" customHeight="1">
      <c r="A39" s="314" t="s">
        <v>316</v>
      </c>
      <c r="B39" s="315" t="s">
        <v>431</v>
      </c>
      <c r="C39" s="309" t="s">
        <v>229</v>
      </c>
      <c r="D39" s="279">
        <v>1</v>
      </c>
      <c r="E39" s="278"/>
      <c r="F39" s="266">
        <f t="shared" si="0"/>
        <v>0</v>
      </c>
      <c r="G39" s="476"/>
      <c r="H39" s="261"/>
    </row>
    <row r="40" spans="1:8" s="260" customFormat="1" ht="86.25" customHeight="1">
      <c r="A40" s="314" t="s">
        <v>317</v>
      </c>
      <c r="B40" s="315" t="s">
        <v>432</v>
      </c>
      <c r="C40" s="309" t="s">
        <v>229</v>
      </c>
      <c r="D40" s="279">
        <v>1</v>
      </c>
      <c r="E40" s="278"/>
      <c r="F40" s="266">
        <f t="shared" si="0"/>
        <v>0</v>
      </c>
      <c r="G40" s="476"/>
      <c r="H40" s="261"/>
    </row>
    <row r="41" spans="1:8" s="260" customFormat="1" ht="84" customHeight="1">
      <c r="A41" s="314" t="s">
        <v>336</v>
      </c>
      <c r="B41" s="315" t="s">
        <v>433</v>
      </c>
      <c r="C41" s="309" t="s">
        <v>229</v>
      </c>
      <c r="D41" s="279">
        <v>1</v>
      </c>
      <c r="E41" s="278"/>
      <c r="F41" s="266">
        <f t="shared" si="0"/>
        <v>0</v>
      </c>
      <c r="G41" s="476"/>
      <c r="H41" s="261"/>
    </row>
    <row r="42" spans="1:8" s="260" customFormat="1" ht="26.4" customHeight="1">
      <c r="A42" s="314" t="s">
        <v>337</v>
      </c>
      <c r="B42" s="315" t="s">
        <v>386</v>
      </c>
      <c r="C42" s="309" t="s">
        <v>229</v>
      </c>
      <c r="D42" s="279">
        <v>1</v>
      </c>
      <c r="E42" s="278"/>
      <c r="F42" s="266">
        <f t="shared" si="0"/>
        <v>0</v>
      </c>
      <c r="G42" s="476"/>
      <c r="H42" s="261"/>
    </row>
    <row r="43" spans="1:8" s="260" customFormat="1">
      <c r="A43" s="311" t="s">
        <v>248</v>
      </c>
      <c r="B43" s="312" t="s">
        <v>279</v>
      </c>
      <c r="C43" s="383"/>
      <c r="D43" s="329"/>
      <c r="E43" s="245"/>
      <c r="F43" s="266">
        <f t="shared" si="0"/>
        <v>0</v>
      </c>
      <c r="G43" s="476"/>
      <c r="H43" s="261"/>
    </row>
    <row r="44" spans="1:8" s="260" customFormat="1" ht="74.25" customHeight="1">
      <c r="A44" s="314" t="s">
        <v>264</v>
      </c>
      <c r="B44" s="315" t="s">
        <v>395</v>
      </c>
      <c r="C44" s="309" t="s">
        <v>259</v>
      </c>
      <c r="D44" s="329">
        <v>3</v>
      </c>
      <c r="E44" s="245"/>
      <c r="F44" s="266">
        <f t="shared" si="0"/>
        <v>0</v>
      </c>
      <c r="G44" s="476"/>
      <c r="H44" s="261"/>
    </row>
    <row r="45" spans="1:8" s="260" customFormat="1">
      <c r="A45" s="314" t="s">
        <v>265</v>
      </c>
      <c r="B45" s="315" t="s">
        <v>287</v>
      </c>
      <c r="C45" s="309" t="s">
        <v>229</v>
      </c>
      <c r="D45" s="289">
        <f>59+4</f>
        <v>63</v>
      </c>
      <c r="E45" s="285"/>
      <c r="F45" s="266">
        <f t="shared" si="0"/>
        <v>0</v>
      </c>
      <c r="G45" s="476"/>
      <c r="H45" s="261"/>
    </row>
    <row r="46" spans="1:8" s="260" customFormat="1" ht="73.5" customHeight="1">
      <c r="A46" s="314" t="s">
        <v>338</v>
      </c>
      <c r="B46" s="315" t="s">
        <v>292</v>
      </c>
      <c r="C46" s="309" t="s">
        <v>229</v>
      </c>
      <c r="D46" s="289">
        <v>1</v>
      </c>
      <c r="E46" s="285"/>
      <c r="F46" s="266">
        <f t="shared" si="0"/>
        <v>0</v>
      </c>
      <c r="G46" s="476"/>
      <c r="H46" s="261"/>
    </row>
    <row r="47" spans="1:8" s="260" customFormat="1" ht="74.25" customHeight="1">
      <c r="A47" s="314" t="s">
        <v>339</v>
      </c>
      <c r="B47" s="315" t="s">
        <v>278</v>
      </c>
      <c r="C47" s="309" t="s">
        <v>229</v>
      </c>
      <c r="D47" s="289">
        <v>1</v>
      </c>
      <c r="E47" s="285"/>
      <c r="F47" s="266">
        <f t="shared" si="0"/>
        <v>0</v>
      </c>
      <c r="G47" s="476"/>
      <c r="H47" s="261"/>
    </row>
    <row r="48" spans="1:8" s="260" customFormat="1" ht="68" customHeight="1">
      <c r="A48" s="314" t="s">
        <v>340</v>
      </c>
      <c r="B48" s="315" t="s">
        <v>314</v>
      </c>
      <c r="C48" s="309" t="s">
        <v>229</v>
      </c>
      <c r="D48" s="289">
        <v>1</v>
      </c>
      <c r="E48" s="285"/>
      <c r="F48" s="266">
        <f t="shared" si="0"/>
        <v>0</v>
      </c>
      <c r="G48" s="476"/>
      <c r="H48" s="261"/>
    </row>
    <row r="49" spans="1:8" s="261" customFormat="1" ht="32.25" customHeight="1">
      <c r="A49" s="314" t="s">
        <v>342</v>
      </c>
      <c r="B49" s="312" t="s">
        <v>434</v>
      </c>
      <c r="C49" s="309" t="s">
        <v>259</v>
      </c>
      <c r="D49" s="295">
        <v>1</v>
      </c>
      <c r="E49" s="296"/>
      <c r="F49" s="266">
        <f t="shared" si="0"/>
        <v>0</v>
      </c>
      <c r="G49" s="476"/>
    </row>
    <row r="50" spans="1:8" s="261" customFormat="1" ht="32.25" customHeight="1">
      <c r="A50" s="314" t="s">
        <v>343</v>
      </c>
      <c r="B50" s="312" t="s">
        <v>435</v>
      </c>
      <c r="C50" s="309" t="s">
        <v>259</v>
      </c>
      <c r="D50" s="295">
        <v>1</v>
      </c>
      <c r="E50" s="296"/>
      <c r="F50" s="266">
        <f t="shared" si="0"/>
        <v>0</v>
      </c>
      <c r="G50" s="476"/>
    </row>
    <row r="51" spans="1:8" s="260" customFormat="1" ht="27" customHeight="1">
      <c r="A51" s="314" t="s">
        <v>344</v>
      </c>
      <c r="B51" s="312" t="s">
        <v>436</v>
      </c>
      <c r="C51" s="309" t="s">
        <v>259</v>
      </c>
      <c r="D51" s="295">
        <v>1</v>
      </c>
      <c r="E51" s="296"/>
      <c r="F51" s="266">
        <f t="shared" si="0"/>
        <v>0</v>
      </c>
      <c r="G51" s="476"/>
      <c r="H51" s="261"/>
    </row>
    <row r="52" spans="1:8" s="260" customFormat="1" ht="31.25" customHeight="1">
      <c r="A52" s="314" t="s">
        <v>345</v>
      </c>
      <c r="B52" s="312" t="s">
        <v>437</v>
      </c>
      <c r="C52" s="309" t="s">
        <v>259</v>
      </c>
      <c r="D52" s="295">
        <v>1</v>
      </c>
      <c r="E52" s="296"/>
      <c r="F52" s="266">
        <f t="shared" si="0"/>
        <v>0</v>
      </c>
      <c r="G52" s="476"/>
      <c r="H52" s="261"/>
    </row>
    <row r="53" spans="1:8" s="260" customFormat="1" ht="112.25" customHeight="1">
      <c r="A53" s="311" t="s">
        <v>269</v>
      </c>
      <c r="B53" s="312" t="s">
        <v>438</v>
      </c>
      <c r="C53" s="309" t="s">
        <v>228</v>
      </c>
      <c r="D53" s="297">
        <v>128</v>
      </c>
      <c r="E53" s="296"/>
      <c r="F53" s="266">
        <f t="shared" si="0"/>
        <v>0</v>
      </c>
      <c r="G53" s="476"/>
      <c r="H53" s="261"/>
    </row>
    <row r="54" spans="1:8" s="260" customFormat="1" ht="30" customHeight="1">
      <c r="A54" s="311" t="s">
        <v>341</v>
      </c>
      <c r="B54" s="312" t="s">
        <v>293</v>
      </c>
      <c r="C54" s="309" t="s">
        <v>228</v>
      </c>
      <c r="D54" s="297">
        <f>3276/78*18</f>
        <v>756</v>
      </c>
      <c r="E54" s="296"/>
      <c r="F54" s="266">
        <f t="shared" si="0"/>
        <v>0</v>
      </c>
      <c r="G54" s="476"/>
      <c r="H54" s="261"/>
    </row>
    <row r="55" spans="1:8" s="260" customFormat="1" ht="30" customHeight="1">
      <c r="A55" s="311" t="s">
        <v>245</v>
      </c>
      <c r="B55" s="312" t="s">
        <v>439</v>
      </c>
      <c r="C55" s="309" t="s">
        <v>230</v>
      </c>
      <c r="D55" s="298">
        <f>22.7/115.6*18</f>
        <v>3.5346020761245676</v>
      </c>
      <c r="E55" s="296"/>
      <c r="F55" s="266">
        <f t="shared" si="0"/>
        <v>0</v>
      </c>
      <c r="G55" s="476"/>
      <c r="H55" s="261"/>
    </row>
    <row r="56" spans="1:8" s="260" customFormat="1" ht="57" customHeight="1">
      <c r="A56" s="311" t="s">
        <v>232</v>
      </c>
      <c r="B56" s="317" t="s">
        <v>440</v>
      </c>
      <c r="C56" s="310" t="s">
        <v>230</v>
      </c>
      <c r="D56" s="276">
        <f>56.1/115.6*18</f>
        <v>8.7352941176470598</v>
      </c>
      <c r="E56" s="276"/>
      <c r="F56" s="266">
        <f t="shared" si="0"/>
        <v>0</v>
      </c>
      <c r="G56" s="476"/>
      <c r="H56" s="261"/>
    </row>
    <row r="57" spans="1:8" s="260" customFormat="1" ht="33.75" customHeight="1">
      <c r="A57" s="311" t="s">
        <v>233</v>
      </c>
      <c r="B57" s="312" t="s">
        <v>441</v>
      </c>
      <c r="C57" s="309" t="s">
        <v>230</v>
      </c>
      <c r="D57" s="287">
        <f>22.7/115.6*18</f>
        <v>3.5346020761245676</v>
      </c>
      <c r="E57" s="245"/>
      <c r="F57" s="266">
        <f t="shared" si="0"/>
        <v>0</v>
      </c>
      <c r="G57" s="476"/>
      <c r="H57" s="261"/>
    </row>
    <row r="58" spans="1:8" s="385" customFormat="1" ht="59.25" customHeight="1">
      <c r="A58" s="311" t="s">
        <v>234</v>
      </c>
      <c r="B58" s="317" t="s">
        <v>442</v>
      </c>
      <c r="C58" s="309" t="s">
        <v>230</v>
      </c>
      <c r="D58" s="275">
        <f>75/16*3</f>
        <v>14.0625</v>
      </c>
      <c r="E58" s="275"/>
      <c r="F58" s="266">
        <f t="shared" si="0"/>
        <v>0</v>
      </c>
      <c r="G58" s="476"/>
      <c r="H58" s="387"/>
    </row>
    <row r="59" spans="1:8" s="385" customFormat="1" ht="50.25" customHeight="1">
      <c r="A59" s="311" t="s">
        <v>235</v>
      </c>
      <c r="B59" s="312" t="s">
        <v>320</v>
      </c>
      <c r="C59" s="309" t="s">
        <v>230</v>
      </c>
      <c r="D59" s="276">
        <f>12/115.6*18</f>
        <v>1.8685121107266438</v>
      </c>
      <c r="E59" s="276"/>
      <c r="F59" s="266">
        <f t="shared" si="0"/>
        <v>0</v>
      </c>
      <c r="G59" s="476"/>
      <c r="H59" s="387"/>
    </row>
    <row r="60" spans="1:8" s="385" customFormat="1" ht="58.5" customHeight="1">
      <c r="A60" s="311" t="s">
        <v>270</v>
      </c>
      <c r="B60" s="312" t="s">
        <v>443</v>
      </c>
      <c r="C60" s="309" t="s">
        <v>230</v>
      </c>
      <c r="D60" s="276">
        <f>15/16*3</f>
        <v>2.8125</v>
      </c>
      <c r="E60" s="276"/>
      <c r="F60" s="266">
        <f t="shared" si="0"/>
        <v>0</v>
      </c>
      <c r="G60" s="476"/>
      <c r="H60" s="387"/>
    </row>
    <row r="61" spans="1:8" s="385" customFormat="1" ht="58.5" customHeight="1">
      <c r="A61" s="311" t="s">
        <v>271</v>
      </c>
      <c r="B61" s="312" t="s">
        <v>444</v>
      </c>
      <c r="C61" s="309" t="s">
        <v>230</v>
      </c>
      <c r="D61" s="280">
        <f>0.6</f>
        <v>0.6</v>
      </c>
      <c r="E61" s="278"/>
      <c r="F61" s="266">
        <f t="shared" si="0"/>
        <v>0</v>
      </c>
      <c r="G61" s="476"/>
      <c r="H61" s="387"/>
    </row>
    <row r="62" spans="1:8" s="385" customFormat="1" ht="58.5" customHeight="1">
      <c r="A62" s="311" t="s">
        <v>236</v>
      </c>
      <c r="B62" s="312" t="s">
        <v>321</v>
      </c>
      <c r="C62" s="309" t="s">
        <v>230</v>
      </c>
      <c r="D62" s="298">
        <v>0.5</v>
      </c>
      <c r="E62" s="296"/>
      <c r="F62" s="266">
        <f t="shared" si="0"/>
        <v>0</v>
      </c>
      <c r="G62" s="476"/>
      <c r="H62" s="387"/>
    </row>
    <row r="63" spans="1:8" s="385" customFormat="1" ht="58.5" customHeight="1">
      <c r="A63" s="311" t="s">
        <v>237</v>
      </c>
      <c r="B63" s="312" t="s">
        <v>322</v>
      </c>
      <c r="C63" s="309" t="s">
        <v>230</v>
      </c>
      <c r="D63" s="307">
        <v>0.5</v>
      </c>
      <c r="E63" s="306"/>
      <c r="F63" s="266">
        <f t="shared" si="0"/>
        <v>0</v>
      </c>
      <c r="G63" s="476"/>
      <c r="H63" s="387"/>
    </row>
    <row r="64" spans="1:8" s="385" customFormat="1" ht="58.5" customHeight="1">
      <c r="A64" s="311" t="s">
        <v>346</v>
      </c>
      <c r="B64" s="312" t="s">
        <v>323</v>
      </c>
      <c r="C64" s="309" t="s">
        <v>230</v>
      </c>
      <c r="D64" s="307">
        <v>0.5</v>
      </c>
      <c r="E64" s="306"/>
      <c r="F64" s="266">
        <f t="shared" si="0"/>
        <v>0</v>
      </c>
      <c r="G64" s="476"/>
      <c r="H64" s="387"/>
    </row>
    <row r="65" spans="1:8" s="260" customFormat="1">
      <c r="A65" s="311" t="s">
        <v>238</v>
      </c>
      <c r="B65" s="312" t="s">
        <v>231</v>
      </c>
      <c r="C65" s="309"/>
      <c r="D65" s="329"/>
      <c r="E65" s="245"/>
      <c r="F65" s="266">
        <f t="shared" si="0"/>
        <v>0</v>
      </c>
      <c r="G65" s="476"/>
      <c r="H65" s="261"/>
    </row>
    <row r="66" spans="1:8" s="260" customFormat="1" ht="82.5" customHeight="1">
      <c r="A66" s="314" t="s">
        <v>347</v>
      </c>
      <c r="B66" s="315" t="s">
        <v>445</v>
      </c>
      <c r="C66" s="309" t="s">
        <v>230</v>
      </c>
      <c r="D66" s="270">
        <v>101</v>
      </c>
      <c r="E66" s="270"/>
      <c r="F66" s="266">
        <f t="shared" si="0"/>
        <v>0</v>
      </c>
      <c r="G66" s="476"/>
      <c r="H66" s="261"/>
    </row>
    <row r="67" spans="1:8" s="260" customFormat="1" ht="79.5" customHeight="1">
      <c r="A67" s="314" t="s">
        <v>348</v>
      </c>
      <c r="B67" s="315" t="s">
        <v>446</v>
      </c>
      <c r="C67" s="309" t="s">
        <v>230</v>
      </c>
      <c r="D67" s="270">
        <v>62</v>
      </c>
      <c r="E67" s="245"/>
      <c r="F67" s="266">
        <f t="shared" si="0"/>
        <v>0</v>
      </c>
      <c r="G67" s="476"/>
      <c r="H67" s="261"/>
    </row>
    <row r="68" spans="1:8" s="260" customFormat="1" ht="84" customHeight="1">
      <c r="A68" s="314" t="s">
        <v>349</v>
      </c>
      <c r="B68" s="315" t="s">
        <v>447</v>
      </c>
      <c r="C68" s="309" t="s">
        <v>230</v>
      </c>
      <c r="D68" s="329">
        <v>11.7</v>
      </c>
      <c r="E68" s="329"/>
      <c r="F68" s="266">
        <f t="shared" si="0"/>
        <v>0</v>
      </c>
      <c r="G68" s="476"/>
      <c r="H68" s="261"/>
    </row>
    <row r="69" spans="1:8" s="260" customFormat="1" ht="87" customHeight="1">
      <c r="A69" s="314" t="s">
        <v>350</v>
      </c>
      <c r="B69" s="315" t="s">
        <v>448</v>
      </c>
      <c r="C69" s="309" t="s">
        <v>230</v>
      </c>
      <c r="D69" s="277">
        <f>3*3*0.6</f>
        <v>5.3999999999999995</v>
      </c>
      <c r="E69" s="278"/>
      <c r="F69" s="266">
        <f t="shared" si="0"/>
        <v>0</v>
      </c>
      <c r="G69" s="476"/>
      <c r="H69" s="261"/>
    </row>
    <row r="70" spans="1:8" s="260" customFormat="1" ht="87" customHeight="1">
      <c r="A70" s="314" t="s">
        <v>351</v>
      </c>
      <c r="B70" s="315" t="s">
        <v>449</v>
      </c>
      <c r="C70" s="309" t="s">
        <v>230</v>
      </c>
      <c r="D70" s="297">
        <v>0.55000000000000004</v>
      </c>
      <c r="E70" s="296"/>
      <c r="F70" s="266">
        <f t="shared" si="0"/>
        <v>0</v>
      </c>
      <c r="G70" s="476"/>
      <c r="H70" s="261"/>
    </row>
    <row r="71" spans="1:8" s="260" customFormat="1" ht="82.5" customHeight="1">
      <c r="A71" s="314" t="s">
        <v>352</v>
      </c>
      <c r="B71" s="315" t="s">
        <v>450</v>
      </c>
      <c r="C71" s="309" t="s">
        <v>230</v>
      </c>
      <c r="D71" s="329">
        <v>2.6</v>
      </c>
      <c r="E71" s="329"/>
      <c r="F71" s="266">
        <f t="shared" si="0"/>
        <v>0</v>
      </c>
      <c r="G71" s="476"/>
      <c r="H71" s="261"/>
    </row>
    <row r="72" spans="1:8" s="260" customFormat="1">
      <c r="A72" s="314" t="s">
        <v>353</v>
      </c>
      <c r="B72" s="315" t="s">
        <v>451</v>
      </c>
      <c r="C72" s="309" t="s">
        <v>230</v>
      </c>
      <c r="D72" s="329">
        <v>18.7</v>
      </c>
      <c r="E72" s="329"/>
      <c r="F72" s="266">
        <f t="shared" si="0"/>
        <v>0</v>
      </c>
      <c r="G72" s="476"/>
      <c r="H72" s="261"/>
    </row>
    <row r="73" spans="1:8" s="260" customFormat="1" ht="26">
      <c r="A73" s="314" t="s">
        <v>354</v>
      </c>
      <c r="B73" s="315" t="s">
        <v>452</v>
      </c>
      <c r="C73" s="309" t="s">
        <v>230</v>
      </c>
      <c r="D73" s="269">
        <f>5/115.6*18</f>
        <v>0.77854671280276821</v>
      </c>
      <c r="E73" s="269"/>
      <c r="F73" s="266">
        <f t="shared" si="0"/>
        <v>0</v>
      </c>
      <c r="G73" s="476"/>
      <c r="H73" s="261"/>
    </row>
    <row r="74" spans="1:8" s="260" customFormat="1" ht="47.25" customHeight="1">
      <c r="A74" s="311" t="s">
        <v>239</v>
      </c>
      <c r="B74" s="318" t="s">
        <v>396</v>
      </c>
      <c r="C74" s="309" t="s">
        <v>229</v>
      </c>
      <c r="D74" s="329">
        <v>3</v>
      </c>
      <c r="E74" s="329"/>
      <c r="F74" s="266">
        <f t="shared" si="0"/>
        <v>0</v>
      </c>
      <c r="G74" s="476"/>
      <c r="H74" s="261"/>
    </row>
    <row r="75" spans="1:8" s="260" customFormat="1" ht="55.75" customHeight="1">
      <c r="A75" s="311" t="s">
        <v>272</v>
      </c>
      <c r="B75" s="318" t="s">
        <v>579</v>
      </c>
      <c r="C75" s="309" t="s">
        <v>229</v>
      </c>
      <c r="D75" s="289">
        <f>59+4</f>
        <v>63</v>
      </c>
      <c r="E75" s="257"/>
      <c r="F75" s="266">
        <f t="shared" si="0"/>
        <v>0</v>
      </c>
      <c r="G75" s="476"/>
      <c r="H75" s="261"/>
    </row>
    <row r="76" spans="1:8" s="260" customFormat="1" ht="69.75" customHeight="1">
      <c r="A76" s="311" t="s">
        <v>244</v>
      </c>
      <c r="B76" s="318" t="s">
        <v>397</v>
      </c>
      <c r="C76" s="309" t="s">
        <v>259</v>
      </c>
      <c r="D76" s="274">
        <v>1</v>
      </c>
      <c r="E76" s="268"/>
      <c r="F76" s="266">
        <f t="shared" si="0"/>
        <v>0</v>
      </c>
      <c r="G76" s="476"/>
      <c r="H76" s="261"/>
    </row>
    <row r="77" spans="1:8" s="260" customFormat="1" ht="69.75" customHeight="1">
      <c r="A77" s="311" t="s">
        <v>257</v>
      </c>
      <c r="B77" s="318" t="s">
        <v>398</v>
      </c>
      <c r="C77" s="309" t="s">
        <v>259</v>
      </c>
      <c r="D77" s="281">
        <v>1</v>
      </c>
      <c r="E77" s="282"/>
      <c r="F77" s="266">
        <f t="shared" si="0"/>
        <v>0</v>
      </c>
      <c r="G77" s="476"/>
      <c r="H77" s="261"/>
    </row>
    <row r="78" spans="1:8" s="260" customFormat="1" ht="79.5" customHeight="1">
      <c r="A78" s="311" t="s">
        <v>273</v>
      </c>
      <c r="B78" s="318" t="s">
        <v>399</v>
      </c>
      <c r="C78" s="309" t="s">
        <v>259</v>
      </c>
      <c r="D78" s="274">
        <v>1</v>
      </c>
      <c r="E78" s="282"/>
      <c r="F78" s="266">
        <f t="shared" si="0"/>
        <v>0</v>
      </c>
      <c r="G78" s="476"/>
      <c r="H78" s="261"/>
    </row>
    <row r="79" spans="1:8" s="260" customFormat="1" ht="69.75" customHeight="1">
      <c r="A79" s="311" t="s">
        <v>355</v>
      </c>
      <c r="B79" s="318" t="s">
        <v>400</v>
      </c>
      <c r="C79" s="309" t="s">
        <v>259</v>
      </c>
      <c r="D79" s="274">
        <v>1</v>
      </c>
      <c r="E79" s="282"/>
      <c r="F79" s="266">
        <f t="shared" si="0"/>
        <v>0</v>
      </c>
      <c r="G79" s="476"/>
      <c r="H79" s="261"/>
    </row>
    <row r="80" spans="1:8" s="260" customFormat="1" ht="69.75" customHeight="1">
      <c r="A80" s="311" t="s">
        <v>356</v>
      </c>
      <c r="B80" s="318" t="s">
        <v>401</v>
      </c>
      <c r="C80" s="309" t="s">
        <v>259</v>
      </c>
      <c r="D80" s="274">
        <v>1</v>
      </c>
      <c r="E80" s="282"/>
      <c r="F80" s="266">
        <f t="shared" si="0"/>
        <v>0</v>
      </c>
      <c r="G80" s="476"/>
      <c r="H80" s="261"/>
    </row>
    <row r="81" spans="1:8" s="260" customFormat="1" ht="78.75" customHeight="1">
      <c r="A81" s="311" t="s">
        <v>357</v>
      </c>
      <c r="B81" s="318" t="s">
        <v>402</v>
      </c>
      <c r="C81" s="309" t="s">
        <v>259</v>
      </c>
      <c r="D81" s="274">
        <v>1</v>
      </c>
      <c r="E81" s="282"/>
      <c r="F81" s="266">
        <f t="shared" ref="F81:F87" si="1">E81*D81</f>
        <v>0</v>
      </c>
      <c r="G81" s="476"/>
      <c r="H81" s="261"/>
    </row>
    <row r="82" spans="1:8" s="260" customFormat="1" ht="37.5" customHeight="1">
      <c r="A82" s="311" t="s">
        <v>358</v>
      </c>
      <c r="B82" s="312" t="s">
        <v>453</v>
      </c>
      <c r="C82" s="309" t="s">
        <v>266</v>
      </c>
      <c r="D82" s="281">
        <v>3950</v>
      </c>
      <c r="E82" s="282"/>
      <c r="F82" s="266">
        <f t="shared" si="1"/>
        <v>0</v>
      </c>
      <c r="G82" s="476"/>
      <c r="H82" s="261"/>
    </row>
    <row r="83" spans="1:8" s="260" customFormat="1" ht="30.75" customHeight="1">
      <c r="A83" s="311" t="s">
        <v>359</v>
      </c>
      <c r="B83" s="318" t="s">
        <v>318</v>
      </c>
      <c r="C83" s="309" t="s">
        <v>266</v>
      </c>
      <c r="D83" s="274">
        <v>750</v>
      </c>
      <c r="E83" s="268"/>
      <c r="F83" s="266">
        <f t="shared" si="1"/>
        <v>0</v>
      </c>
      <c r="G83" s="476"/>
      <c r="H83" s="261"/>
    </row>
    <row r="84" spans="1:8" s="260" customFormat="1" ht="39" customHeight="1">
      <c r="A84" s="311" t="s">
        <v>360</v>
      </c>
      <c r="B84" s="312" t="s">
        <v>454</v>
      </c>
      <c r="C84" s="309" t="s">
        <v>243</v>
      </c>
      <c r="D84" s="265">
        <v>1</v>
      </c>
      <c r="E84" s="267"/>
      <c r="F84" s="266">
        <f t="shared" si="1"/>
        <v>0</v>
      </c>
      <c r="G84" s="476"/>
      <c r="H84" s="261"/>
    </row>
    <row r="85" spans="1:8" s="260" customFormat="1" ht="50" customHeight="1">
      <c r="A85" s="311" t="s">
        <v>361</v>
      </c>
      <c r="B85" s="312" t="s">
        <v>455</v>
      </c>
      <c r="C85" s="309" t="s">
        <v>280</v>
      </c>
      <c r="D85" s="329">
        <f>10100/5</f>
        <v>2020</v>
      </c>
      <c r="E85" s="329"/>
      <c r="F85" s="266">
        <f t="shared" si="1"/>
        <v>0</v>
      </c>
      <c r="G85" s="476"/>
      <c r="H85" s="261"/>
    </row>
    <row r="86" spans="1:8" s="260" customFormat="1" ht="84.75" customHeight="1">
      <c r="A86" s="311" t="s">
        <v>362</v>
      </c>
      <c r="B86" s="318" t="s">
        <v>298</v>
      </c>
      <c r="C86" s="309" t="s">
        <v>259</v>
      </c>
      <c r="D86" s="329">
        <v>0.7</v>
      </c>
      <c r="E86" s="247"/>
      <c r="F86" s="266">
        <f t="shared" si="1"/>
        <v>0</v>
      </c>
      <c r="G86" s="476"/>
      <c r="H86" s="261"/>
    </row>
    <row r="87" spans="1:8" s="260" customFormat="1" ht="96" customHeight="1" thickBot="1">
      <c r="A87" s="311" t="s">
        <v>363</v>
      </c>
      <c r="B87" s="312" t="s">
        <v>388</v>
      </c>
      <c r="C87" s="309" t="s">
        <v>259</v>
      </c>
      <c r="D87" s="297">
        <v>0.15</v>
      </c>
      <c r="E87" s="302"/>
      <c r="F87" s="266">
        <f t="shared" si="1"/>
        <v>0</v>
      </c>
      <c r="G87" s="477"/>
      <c r="H87" s="261"/>
    </row>
    <row r="88" spans="1:8" s="260" customFormat="1">
      <c r="A88" s="569" t="s">
        <v>299</v>
      </c>
      <c r="B88" s="570"/>
      <c r="C88" s="570"/>
      <c r="D88" s="570"/>
      <c r="E88" s="330"/>
      <c r="F88" s="479">
        <f>SUM(F16:F87)</f>
        <v>0</v>
      </c>
      <c r="G88" s="303"/>
      <c r="H88" s="261"/>
    </row>
    <row r="89" spans="1:8" s="260" customFormat="1">
      <c r="A89" s="526" t="s">
        <v>247</v>
      </c>
      <c r="B89" s="527"/>
      <c r="C89" s="527"/>
      <c r="D89" s="527"/>
      <c r="E89" s="331"/>
      <c r="F89" s="254">
        <f>F88*0.2</f>
        <v>0</v>
      </c>
      <c r="G89" s="304"/>
      <c r="H89" s="261"/>
    </row>
    <row r="90" spans="1:8" s="260" customFormat="1" ht="16" thickBot="1">
      <c r="A90" s="528" t="s">
        <v>300</v>
      </c>
      <c r="B90" s="529"/>
      <c r="C90" s="529"/>
      <c r="D90" s="529"/>
      <c r="E90" s="332"/>
      <c r="F90" s="255">
        <f>F88+F89</f>
        <v>0</v>
      </c>
      <c r="G90" s="304"/>
      <c r="H90" s="261"/>
    </row>
    <row r="91" spans="1:8" s="260" customFormat="1" ht="50.25" customHeight="1" thickBot="1">
      <c r="A91" s="530" t="s">
        <v>219</v>
      </c>
      <c r="B91" s="532" t="s">
        <v>220</v>
      </c>
      <c r="C91" s="534" t="s">
        <v>240</v>
      </c>
      <c r="D91" s="535"/>
      <c r="E91" s="536" t="s">
        <v>221</v>
      </c>
      <c r="F91" s="537"/>
      <c r="G91" s="389"/>
      <c r="H91" s="261"/>
    </row>
    <row r="92" spans="1:8" s="260" customFormat="1" ht="27.65" customHeight="1">
      <c r="A92" s="531"/>
      <c r="B92" s="533"/>
      <c r="C92" s="538" t="s">
        <v>222</v>
      </c>
      <c r="D92" s="539" t="s">
        <v>223</v>
      </c>
      <c r="E92" s="540" t="s">
        <v>610</v>
      </c>
      <c r="F92" s="541" t="s">
        <v>611</v>
      </c>
      <c r="G92" s="555"/>
      <c r="H92" s="261"/>
    </row>
    <row r="93" spans="1:8" s="260" customFormat="1" ht="16" thickBot="1">
      <c r="A93" s="522" t="s">
        <v>301</v>
      </c>
      <c r="B93" s="523"/>
      <c r="C93" s="538"/>
      <c r="D93" s="539"/>
      <c r="E93" s="540"/>
      <c r="F93" s="541"/>
      <c r="G93" s="556"/>
      <c r="H93" s="261"/>
    </row>
    <row r="94" spans="1:8" s="260" customFormat="1">
      <c r="A94" s="246" t="s">
        <v>241</v>
      </c>
      <c r="B94" s="242" t="s">
        <v>304</v>
      </c>
      <c r="C94" s="328" t="s">
        <v>226</v>
      </c>
      <c r="D94" s="297">
        <v>0.15</v>
      </c>
      <c r="E94" s="244"/>
      <c r="F94" s="253">
        <f>E94*D94</f>
        <v>0</v>
      </c>
      <c r="G94" s="410"/>
      <c r="H94" s="261"/>
    </row>
    <row r="95" spans="1:8" s="260" customFormat="1" ht="26.5" thickBot="1">
      <c r="A95" s="250" t="s">
        <v>242</v>
      </c>
      <c r="B95" s="248" t="s">
        <v>309</v>
      </c>
      <c r="C95" s="328" t="s">
        <v>226</v>
      </c>
      <c r="D95" s="297">
        <v>0.15</v>
      </c>
      <c r="E95" s="300"/>
      <c r="F95" s="253">
        <f>E95*D95</f>
        <v>0</v>
      </c>
      <c r="G95" s="293"/>
      <c r="H95" s="261"/>
    </row>
    <row r="96" spans="1:8" s="260" customFormat="1">
      <c r="A96" s="524" t="s">
        <v>613</v>
      </c>
      <c r="B96" s="525"/>
      <c r="C96" s="525"/>
      <c r="D96" s="525"/>
      <c r="E96" s="333"/>
      <c r="F96" s="262">
        <f>SUM(F94:F95)</f>
        <v>0</v>
      </c>
      <c r="G96" s="249"/>
      <c r="H96" s="261"/>
    </row>
    <row r="97" spans="1:249" s="260" customFormat="1">
      <c r="A97" s="526" t="s">
        <v>247</v>
      </c>
      <c r="B97" s="527"/>
      <c r="C97" s="527"/>
      <c r="D97" s="527"/>
      <c r="E97" s="331"/>
      <c r="F97" s="256">
        <f>F96*0.2</f>
        <v>0</v>
      </c>
      <c r="G97" s="249"/>
      <c r="H97" s="261"/>
    </row>
    <row r="98" spans="1:249" s="260" customFormat="1" ht="16" thickBot="1">
      <c r="A98" s="528" t="s">
        <v>614</v>
      </c>
      <c r="B98" s="529"/>
      <c r="C98" s="529"/>
      <c r="D98" s="529"/>
      <c r="E98" s="332"/>
      <c r="F98" s="263">
        <f>F96+F97</f>
        <v>0</v>
      </c>
      <c r="G98" s="249"/>
      <c r="H98" s="261"/>
    </row>
    <row r="99" spans="1:249" s="260" customFormat="1" ht="50.25" customHeight="1" thickBot="1">
      <c r="A99" s="530" t="s">
        <v>219</v>
      </c>
      <c r="B99" s="532" t="s">
        <v>220</v>
      </c>
      <c r="C99" s="534" t="s">
        <v>240</v>
      </c>
      <c r="D99" s="535"/>
      <c r="E99" s="536" t="s">
        <v>221</v>
      </c>
      <c r="F99" s="537"/>
      <c r="G99" s="391"/>
      <c r="H99" s="261"/>
    </row>
    <row r="100" spans="1:249" s="260" customFormat="1" ht="15.75" customHeight="1">
      <c r="A100" s="531"/>
      <c r="B100" s="533"/>
      <c r="C100" s="538" t="s">
        <v>222</v>
      </c>
      <c r="D100" s="539" t="s">
        <v>223</v>
      </c>
      <c r="E100" s="540" t="s">
        <v>610</v>
      </c>
      <c r="F100" s="541" t="s">
        <v>611</v>
      </c>
      <c r="G100" s="555"/>
      <c r="H100" s="261"/>
    </row>
    <row r="101" spans="1:249" s="260" customFormat="1" ht="16" thickBot="1">
      <c r="A101" s="522" t="s">
        <v>302</v>
      </c>
      <c r="B101" s="523"/>
      <c r="C101" s="538"/>
      <c r="D101" s="539"/>
      <c r="E101" s="540"/>
      <c r="F101" s="541"/>
      <c r="G101" s="556"/>
      <c r="H101" s="261"/>
    </row>
    <row r="102" spans="1:249" s="260" customFormat="1" ht="78.75" customHeight="1">
      <c r="A102" s="246" t="s">
        <v>241</v>
      </c>
      <c r="B102" s="242" t="s">
        <v>456</v>
      </c>
      <c r="C102" s="328" t="s">
        <v>303</v>
      </c>
      <c r="D102" s="329">
        <v>460</v>
      </c>
      <c r="E102" s="244"/>
      <c r="F102" s="253">
        <f>E102*D102</f>
        <v>0</v>
      </c>
      <c r="G102" s="410"/>
      <c r="H102" s="261"/>
    </row>
    <row r="103" spans="1:249" s="260" customFormat="1" ht="39.5" thickBot="1">
      <c r="A103" s="250" t="s">
        <v>242</v>
      </c>
      <c r="B103" s="248" t="s">
        <v>457</v>
      </c>
      <c r="C103" s="251" t="s">
        <v>226</v>
      </c>
      <c r="D103" s="329">
        <v>1</v>
      </c>
      <c r="E103" s="252"/>
      <c r="F103" s="253">
        <f>E103*D103</f>
        <v>0</v>
      </c>
      <c r="G103" s="301"/>
      <c r="H103" s="261"/>
    </row>
    <row r="104" spans="1:249" s="260" customFormat="1">
      <c r="A104" s="524" t="s">
        <v>613</v>
      </c>
      <c r="B104" s="525"/>
      <c r="C104" s="525"/>
      <c r="D104" s="525"/>
      <c r="E104" s="333"/>
      <c r="F104" s="262">
        <f>SUM(F102:F103)</f>
        <v>0</v>
      </c>
      <c r="G104" s="249"/>
      <c r="H104" s="261"/>
    </row>
    <row r="105" spans="1:249" s="260" customFormat="1">
      <c r="A105" s="526" t="s">
        <v>247</v>
      </c>
      <c r="B105" s="527"/>
      <c r="C105" s="527"/>
      <c r="D105" s="527"/>
      <c r="E105" s="331"/>
      <c r="F105" s="256">
        <f>F104*0.2</f>
        <v>0</v>
      </c>
      <c r="G105" s="249"/>
    </row>
    <row r="106" spans="1:249" s="260" customFormat="1" ht="16" thickBot="1">
      <c r="A106" s="528" t="s">
        <v>614</v>
      </c>
      <c r="B106" s="529"/>
      <c r="C106" s="529"/>
      <c r="D106" s="529"/>
      <c r="E106" s="332"/>
      <c r="F106" s="263">
        <f>F104+F105</f>
        <v>0</v>
      </c>
      <c r="G106" s="249"/>
    </row>
    <row r="107" spans="1:249" s="260" customFormat="1">
      <c r="A107" s="283"/>
      <c r="B107" s="283"/>
      <c r="C107" s="283"/>
      <c r="D107" s="283"/>
      <c r="E107" s="283"/>
      <c r="F107" s="284"/>
      <c r="G107" s="249"/>
    </row>
    <row r="108" spans="1:249" ht="16" thickBot="1">
      <c r="A108" s="559" t="s">
        <v>282</v>
      </c>
      <c r="B108" s="560"/>
      <c r="C108" s="560"/>
      <c r="D108" s="560"/>
      <c r="E108" s="560"/>
      <c r="F108" s="560"/>
      <c r="G108" s="560"/>
      <c r="H108" s="261"/>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0"/>
      <c r="BT108" s="260"/>
      <c r="BU108" s="260"/>
      <c r="BV108" s="260"/>
      <c r="BW108" s="260"/>
      <c r="BX108" s="260"/>
      <c r="BY108" s="260"/>
      <c r="BZ108" s="260"/>
      <c r="CA108" s="260"/>
      <c r="CB108" s="260"/>
      <c r="CC108" s="260"/>
      <c r="CD108" s="260"/>
      <c r="CE108" s="260"/>
      <c r="CF108" s="260"/>
      <c r="CG108" s="260"/>
      <c r="CH108" s="260"/>
      <c r="CI108" s="260"/>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0"/>
      <c r="DF108" s="260"/>
      <c r="DG108" s="260"/>
      <c r="DH108" s="260"/>
      <c r="DI108" s="260"/>
      <c r="DJ108" s="260"/>
      <c r="DK108" s="260"/>
      <c r="DL108" s="260"/>
      <c r="DM108" s="260"/>
      <c r="DN108" s="260"/>
      <c r="DO108" s="260"/>
      <c r="DP108" s="260"/>
      <c r="DQ108" s="260"/>
      <c r="DR108" s="260"/>
      <c r="DS108" s="260"/>
      <c r="DT108" s="260"/>
      <c r="DU108" s="260"/>
      <c r="DV108" s="260"/>
      <c r="DW108" s="260"/>
      <c r="DX108" s="260"/>
      <c r="DY108" s="260"/>
      <c r="DZ108" s="260"/>
      <c r="EA108" s="260"/>
      <c r="EB108" s="260"/>
      <c r="EC108" s="260"/>
      <c r="ED108" s="260"/>
      <c r="EE108" s="260"/>
      <c r="EF108" s="260"/>
      <c r="EG108" s="260"/>
      <c r="EH108" s="260"/>
      <c r="EI108" s="260"/>
      <c r="EJ108" s="260"/>
      <c r="EK108" s="260"/>
      <c r="EL108" s="260"/>
      <c r="EM108" s="260"/>
      <c r="EN108" s="260"/>
      <c r="EO108" s="260"/>
      <c r="EP108" s="260"/>
      <c r="EQ108" s="260"/>
      <c r="ER108" s="260"/>
      <c r="ES108" s="260"/>
      <c r="ET108" s="260"/>
      <c r="EU108" s="260"/>
      <c r="EV108" s="260"/>
      <c r="EW108" s="260"/>
      <c r="EX108" s="260"/>
      <c r="EY108" s="260"/>
      <c r="EZ108" s="260"/>
      <c r="FA108" s="260"/>
      <c r="FB108" s="260"/>
      <c r="FC108" s="260"/>
      <c r="FD108" s="260"/>
      <c r="FE108" s="260"/>
      <c r="FF108" s="260"/>
      <c r="FG108" s="260"/>
      <c r="FH108" s="260"/>
      <c r="FI108" s="260"/>
      <c r="FJ108" s="260"/>
      <c r="FK108" s="260"/>
      <c r="FL108" s="260"/>
      <c r="FM108" s="260"/>
      <c r="FN108" s="260"/>
      <c r="FO108" s="260"/>
      <c r="FP108" s="260"/>
      <c r="FQ108" s="260"/>
      <c r="FR108" s="260"/>
      <c r="FS108" s="260"/>
      <c r="FT108" s="260"/>
      <c r="FU108" s="260"/>
      <c r="FV108" s="260"/>
      <c r="FW108" s="260"/>
      <c r="FX108" s="260"/>
      <c r="FY108" s="260"/>
      <c r="FZ108" s="260"/>
      <c r="GA108" s="260"/>
      <c r="GB108" s="260"/>
      <c r="GC108" s="260"/>
      <c r="GD108" s="260"/>
      <c r="GE108" s="260"/>
      <c r="GF108" s="260"/>
      <c r="GG108" s="260"/>
      <c r="GH108" s="260"/>
      <c r="GI108" s="260"/>
      <c r="GJ108" s="260"/>
      <c r="GK108" s="260"/>
      <c r="GL108" s="260"/>
      <c r="GM108" s="260"/>
      <c r="GN108" s="260"/>
      <c r="GO108" s="260"/>
      <c r="GP108" s="260"/>
      <c r="GQ108" s="260"/>
      <c r="GR108" s="260"/>
      <c r="GS108" s="260"/>
      <c r="GT108" s="260"/>
      <c r="GU108" s="260"/>
      <c r="GV108" s="260"/>
      <c r="GW108" s="260"/>
      <c r="GX108" s="260"/>
      <c r="GY108" s="260"/>
      <c r="GZ108" s="260"/>
      <c r="HA108" s="260"/>
      <c r="HB108" s="260"/>
      <c r="HC108" s="260"/>
      <c r="HD108" s="260"/>
      <c r="HE108" s="260"/>
      <c r="HF108" s="260"/>
      <c r="HG108" s="260"/>
      <c r="HH108" s="260"/>
      <c r="HI108" s="260"/>
      <c r="HJ108" s="260"/>
      <c r="HK108" s="260"/>
      <c r="HL108" s="260"/>
      <c r="HM108" s="260"/>
      <c r="HN108" s="260"/>
      <c r="HO108" s="260"/>
      <c r="HP108" s="260"/>
      <c r="HQ108" s="260"/>
      <c r="HR108" s="260"/>
      <c r="HS108" s="260"/>
      <c r="HT108" s="260"/>
      <c r="HU108" s="260"/>
      <c r="HV108" s="260"/>
      <c r="HW108" s="260"/>
      <c r="HX108" s="260"/>
      <c r="HY108" s="260"/>
      <c r="HZ108" s="260"/>
      <c r="IA108" s="260"/>
      <c r="IB108" s="260"/>
      <c r="IC108" s="260"/>
      <c r="ID108" s="260"/>
      <c r="IE108" s="260"/>
      <c r="IF108" s="260"/>
      <c r="IG108" s="260"/>
      <c r="IH108" s="260"/>
      <c r="II108" s="260"/>
      <c r="IJ108" s="260"/>
      <c r="IK108" s="260"/>
      <c r="IL108" s="260"/>
      <c r="IM108" s="260"/>
      <c r="IN108" s="260"/>
      <c r="IO108" s="260"/>
    </row>
    <row r="109" spans="1:249" s="382" customFormat="1" ht="42" customHeight="1" thickBot="1">
      <c r="A109" s="530" t="s">
        <v>219</v>
      </c>
      <c r="B109" s="532" t="s">
        <v>220</v>
      </c>
      <c r="C109" s="544" t="s">
        <v>246</v>
      </c>
      <c r="D109" s="545"/>
      <c r="E109" s="546" t="s">
        <v>221</v>
      </c>
      <c r="F109" s="546"/>
      <c r="G109" s="391"/>
      <c r="H109" s="380"/>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1"/>
      <c r="AL109" s="381"/>
      <c r="AM109" s="381"/>
      <c r="AN109" s="381"/>
      <c r="AO109" s="381"/>
      <c r="AP109" s="381"/>
      <c r="AQ109" s="381"/>
      <c r="AR109" s="381"/>
      <c r="AS109" s="381"/>
      <c r="AT109" s="381"/>
      <c r="AU109" s="381"/>
      <c r="AV109" s="381"/>
      <c r="AW109" s="381"/>
      <c r="AX109" s="381"/>
      <c r="AY109" s="381"/>
      <c r="AZ109" s="381"/>
      <c r="BA109" s="381"/>
      <c r="BB109" s="381"/>
      <c r="BC109" s="381"/>
      <c r="BD109" s="381"/>
      <c r="BE109" s="381"/>
      <c r="BF109" s="381"/>
      <c r="BG109" s="381"/>
      <c r="BH109" s="381"/>
      <c r="BI109" s="381"/>
      <c r="BJ109" s="381"/>
      <c r="BK109" s="381"/>
      <c r="BL109" s="381"/>
      <c r="BM109" s="381"/>
      <c r="BN109" s="381"/>
      <c r="BO109" s="381"/>
      <c r="BP109" s="381"/>
      <c r="BQ109" s="381"/>
      <c r="BR109" s="381"/>
      <c r="BS109" s="381"/>
      <c r="BT109" s="381"/>
      <c r="BU109" s="381"/>
      <c r="BV109" s="381"/>
      <c r="BW109" s="381"/>
      <c r="BX109" s="381"/>
      <c r="BY109" s="381"/>
      <c r="BZ109" s="381"/>
      <c r="CA109" s="381"/>
      <c r="CB109" s="381"/>
      <c r="CC109" s="381"/>
      <c r="CD109" s="381"/>
      <c r="CE109" s="381"/>
      <c r="CF109" s="381"/>
      <c r="CG109" s="381"/>
      <c r="CH109" s="381"/>
      <c r="CI109" s="381"/>
      <c r="CJ109" s="381"/>
      <c r="CK109" s="381"/>
      <c r="CL109" s="381"/>
      <c r="CM109" s="381"/>
      <c r="CN109" s="381"/>
      <c r="CO109" s="381"/>
      <c r="CP109" s="381"/>
      <c r="CQ109" s="381"/>
      <c r="CR109" s="381"/>
      <c r="CS109" s="381"/>
      <c r="CT109" s="381"/>
      <c r="CU109" s="381"/>
      <c r="CV109" s="381"/>
      <c r="CW109" s="381"/>
      <c r="CX109" s="381"/>
      <c r="CY109" s="381"/>
      <c r="CZ109" s="381"/>
      <c r="DA109" s="381"/>
      <c r="DB109" s="381"/>
      <c r="DC109" s="381"/>
      <c r="DD109" s="381"/>
      <c r="DE109" s="381"/>
      <c r="DF109" s="381"/>
      <c r="DG109" s="381"/>
      <c r="DH109" s="381"/>
      <c r="DI109" s="381"/>
      <c r="DJ109" s="381"/>
      <c r="DK109" s="381"/>
      <c r="DL109" s="381"/>
      <c r="DM109" s="381"/>
      <c r="DN109" s="381"/>
      <c r="DO109" s="381"/>
      <c r="DP109" s="381"/>
      <c r="DQ109" s="381"/>
      <c r="DR109" s="381"/>
      <c r="DS109" s="381"/>
      <c r="DT109" s="381"/>
      <c r="DU109" s="381"/>
      <c r="DV109" s="381"/>
      <c r="DW109" s="381"/>
      <c r="DX109" s="381"/>
      <c r="DY109" s="381"/>
      <c r="DZ109" s="381"/>
      <c r="EA109" s="381"/>
      <c r="EB109" s="381"/>
      <c r="EC109" s="381"/>
      <c r="ED109" s="381"/>
      <c r="EE109" s="381"/>
      <c r="EF109" s="381"/>
      <c r="EG109" s="381"/>
      <c r="EH109" s="381"/>
      <c r="EI109" s="381"/>
      <c r="EJ109" s="381"/>
      <c r="EK109" s="381"/>
      <c r="EL109" s="381"/>
      <c r="EM109" s="381"/>
      <c r="EN109" s="381"/>
      <c r="EO109" s="381"/>
      <c r="EP109" s="381"/>
      <c r="EQ109" s="381"/>
      <c r="ER109" s="381"/>
      <c r="ES109" s="381"/>
      <c r="ET109" s="381"/>
      <c r="EU109" s="381"/>
      <c r="EV109" s="381"/>
      <c r="EW109" s="381"/>
      <c r="EX109" s="381"/>
      <c r="EY109" s="381"/>
      <c r="EZ109" s="381"/>
      <c r="FA109" s="381"/>
      <c r="FB109" s="381"/>
      <c r="FC109" s="381"/>
      <c r="FD109" s="381"/>
      <c r="FE109" s="381"/>
      <c r="FF109" s="381"/>
      <c r="FG109" s="381"/>
      <c r="FH109" s="381"/>
      <c r="FI109" s="381"/>
      <c r="FJ109" s="381"/>
      <c r="FK109" s="381"/>
      <c r="FL109" s="381"/>
      <c r="FM109" s="381"/>
      <c r="FN109" s="381"/>
      <c r="FO109" s="381"/>
      <c r="FP109" s="381"/>
      <c r="FQ109" s="381"/>
      <c r="FR109" s="381"/>
      <c r="FS109" s="381"/>
      <c r="FT109" s="381"/>
      <c r="FU109" s="381"/>
      <c r="FV109" s="381"/>
      <c r="FW109" s="381"/>
      <c r="FX109" s="381"/>
      <c r="FY109" s="381"/>
      <c r="FZ109" s="381"/>
      <c r="GA109" s="381"/>
      <c r="GB109" s="381"/>
      <c r="GC109" s="381"/>
      <c r="GD109" s="381"/>
      <c r="GE109" s="381"/>
      <c r="GF109" s="381"/>
      <c r="GG109" s="381"/>
      <c r="GH109" s="381"/>
      <c r="GI109" s="381"/>
      <c r="GJ109" s="381"/>
      <c r="GK109" s="381"/>
      <c r="GL109" s="381"/>
      <c r="GM109" s="381"/>
      <c r="GN109" s="381"/>
      <c r="GO109" s="381"/>
      <c r="GP109" s="381"/>
      <c r="GQ109" s="381"/>
      <c r="GR109" s="381"/>
      <c r="GS109" s="381"/>
      <c r="GT109" s="381"/>
      <c r="GU109" s="381"/>
      <c r="GV109" s="381"/>
      <c r="GW109" s="381"/>
      <c r="GX109" s="381"/>
      <c r="GY109" s="381"/>
      <c r="GZ109" s="381"/>
      <c r="HA109" s="381"/>
      <c r="HB109" s="381"/>
      <c r="HC109" s="381"/>
      <c r="HD109" s="381"/>
      <c r="HE109" s="381"/>
      <c r="HF109" s="381"/>
      <c r="HG109" s="381"/>
      <c r="HH109" s="381"/>
      <c r="HI109" s="381"/>
      <c r="HJ109" s="381"/>
      <c r="HK109" s="381"/>
      <c r="HL109" s="381"/>
      <c r="HM109" s="381"/>
      <c r="HN109" s="381"/>
      <c r="HO109" s="381"/>
      <c r="HP109" s="381"/>
      <c r="HQ109" s="381"/>
      <c r="HR109" s="381"/>
      <c r="HS109" s="381"/>
      <c r="HT109" s="381"/>
      <c r="HU109" s="381"/>
      <c r="HV109" s="381"/>
      <c r="HW109" s="381"/>
      <c r="HX109" s="381"/>
      <c r="HY109" s="381"/>
      <c r="HZ109" s="381"/>
      <c r="IA109" s="381"/>
      <c r="IB109" s="381"/>
      <c r="IC109" s="381"/>
      <c r="ID109" s="381"/>
      <c r="IE109" s="381"/>
      <c r="IF109" s="381"/>
      <c r="IG109" s="381"/>
      <c r="IH109" s="381"/>
      <c r="II109" s="381"/>
      <c r="IJ109" s="381"/>
      <c r="IK109" s="381"/>
      <c r="IL109" s="381"/>
      <c r="IM109" s="381"/>
      <c r="IN109" s="381"/>
      <c r="IO109" s="381"/>
    </row>
    <row r="110" spans="1:249" s="382" customFormat="1" ht="20" customHeight="1">
      <c r="A110" s="531"/>
      <c r="B110" s="533"/>
      <c r="C110" s="547" t="s">
        <v>222</v>
      </c>
      <c r="D110" s="549" t="s">
        <v>223</v>
      </c>
      <c r="E110" s="551" t="s">
        <v>610</v>
      </c>
      <c r="F110" s="553" t="s">
        <v>611</v>
      </c>
      <c r="G110" s="555"/>
      <c r="H110" s="380"/>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1"/>
      <c r="BY110" s="381"/>
      <c r="BZ110" s="381"/>
      <c r="CA110" s="381"/>
      <c r="CB110" s="381"/>
      <c r="CC110" s="381"/>
      <c r="CD110" s="381"/>
      <c r="CE110" s="381"/>
      <c r="CF110" s="381"/>
      <c r="CG110" s="381"/>
      <c r="CH110" s="381"/>
      <c r="CI110" s="381"/>
      <c r="CJ110" s="381"/>
      <c r="CK110" s="381"/>
      <c r="CL110" s="381"/>
      <c r="CM110" s="381"/>
      <c r="CN110" s="381"/>
      <c r="CO110" s="381"/>
      <c r="CP110" s="381"/>
      <c r="CQ110" s="381"/>
      <c r="CR110" s="381"/>
      <c r="CS110" s="381"/>
      <c r="CT110" s="381"/>
      <c r="CU110" s="381"/>
      <c r="CV110" s="381"/>
      <c r="CW110" s="381"/>
      <c r="CX110" s="381"/>
      <c r="CY110" s="381"/>
      <c r="CZ110" s="381"/>
      <c r="DA110" s="381"/>
      <c r="DB110" s="381"/>
      <c r="DC110" s="381"/>
      <c r="DD110" s="381"/>
      <c r="DE110" s="381"/>
      <c r="DF110" s="381"/>
      <c r="DG110" s="381"/>
      <c r="DH110" s="381"/>
      <c r="DI110" s="381"/>
      <c r="DJ110" s="381"/>
      <c r="DK110" s="381"/>
      <c r="DL110" s="381"/>
      <c r="DM110" s="381"/>
      <c r="DN110" s="381"/>
      <c r="DO110" s="381"/>
      <c r="DP110" s="381"/>
      <c r="DQ110" s="381"/>
      <c r="DR110" s="381"/>
      <c r="DS110" s="381"/>
      <c r="DT110" s="381"/>
      <c r="DU110" s="381"/>
      <c r="DV110" s="381"/>
      <c r="DW110" s="381"/>
      <c r="DX110" s="381"/>
      <c r="DY110" s="381"/>
      <c r="DZ110" s="381"/>
      <c r="EA110" s="381"/>
      <c r="EB110" s="381"/>
      <c r="EC110" s="381"/>
      <c r="ED110" s="381"/>
      <c r="EE110" s="381"/>
      <c r="EF110" s="381"/>
      <c r="EG110" s="381"/>
      <c r="EH110" s="381"/>
      <c r="EI110" s="381"/>
      <c r="EJ110" s="381"/>
      <c r="EK110" s="381"/>
      <c r="EL110" s="381"/>
      <c r="EM110" s="381"/>
      <c r="EN110" s="381"/>
      <c r="EO110" s="381"/>
      <c r="EP110" s="381"/>
      <c r="EQ110" s="381"/>
      <c r="ER110" s="381"/>
      <c r="ES110" s="381"/>
      <c r="ET110" s="381"/>
      <c r="EU110" s="381"/>
      <c r="EV110" s="381"/>
      <c r="EW110" s="381"/>
      <c r="EX110" s="381"/>
      <c r="EY110" s="381"/>
      <c r="EZ110" s="381"/>
      <c r="FA110" s="381"/>
      <c r="FB110" s="381"/>
      <c r="FC110" s="381"/>
      <c r="FD110" s="381"/>
      <c r="FE110" s="381"/>
      <c r="FF110" s="381"/>
      <c r="FG110" s="381"/>
      <c r="FH110" s="381"/>
      <c r="FI110" s="381"/>
      <c r="FJ110" s="381"/>
      <c r="FK110" s="381"/>
      <c r="FL110" s="381"/>
      <c r="FM110" s="381"/>
      <c r="FN110" s="381"/>
      <c r="FO110" s="381"/>
      <c r="FP110" s="381"/>
      <c r="FQ110" s="381"/>
      <c r="FR110" s="381"/>
      <c r="FS110" s="381"/>
      <c r="FT110" s="381"/>
      <c r="FU110" s="381"/>
      <c r="FV110" s="381"/>
      <c r="FW110" s="381"/>
      <c r="FX110" s="381"/>
      <c r="FY110" s="381"/>
      <c r="FZ110" s="381"/>
      <c r="GA110" s="381"/>
      <c r="GB110" s="381"/>
      <c r="GC110" s="381"/>
      <c r="GD110" s="381"/>
      <c r="GE110" s="381"/>
      <c r="GF110" s="381"/>
      <c r="GG110" s="381"/>
      <c r="GH110" s="381"/>
      <c r="GI110" s="381"/>
      <c r="GJ110" s="381"/>
      <c r="GK110" s="381"/>
      <c r="GL110" s="381"/>
      <c r="GM110" s="381"/>
      <c r="GN110" s="381"/>
      <c r="GO110" s="381"/>
      <c r="GP110" s="381"/>
      <c r="GQ110" s="381"/>
      <c r="GR110" s="381"/>
      <c r="GS110" s="381"/>
      <c r="GT110" s="381"/>
      <c r="GU110" s="381"/>
      <c r="GV110" s="381"/>
      <c r="GW110" s="381"/>
      <c r="GX110" s="381"/>
      <c r="GY110" s="381"/>
      <c r="GZ110" s="381"/>
      <c r="HA110" s="381"/>
      <c r="HB110" s="381"/>
      <c r="HC110" s="381"/>
      <c r="HD110" s="381"/>
      <c r="HE110" s="381"/>
      <c r="HF110" s="381"/>
      <c r="HG110" s="381"/>
      <c r="HH110" s="381"/>
      <c r="HI110" s="381"/>
      <c r="HJ110" s="381"/>
      <c r="HK110" s="381"/>
      <c r="HL110" s="381"/>
      <c r="HM110" s="381"/>
      <c r="HN110" s="381"/>
      <c r="HO110" s="381"/>
      <c r="HP110" s="381"/>
      <c r="HQ110" s="381"/>
      <c r="HR110" s="381"/>
      <c r="HS110" s="381"/>
      <c r="HT110" s="381"/>
      <c r="HU110" s="381"/>
      <c r="HV110" s="381"/>
      <c r="HW110" s="381"/>
      <c r="HX110" s="381"/>
      <c r="HY110" s="381"/>
      <c r="HZ110" s="381"/>
      <c r="IA110" s="381"/>
      <c r="IB110" s="381"/>
      <c r="IC110" s="381"/>
      <c r="ID110" s="381"/>
      <c r="IE110" s="381"/>
      <c r="IF110" s="381"/>
      <c r="IG110" s="381"/>
      <c r="IH110" s="381"/>
      <c r="II110" s="381"/>
      <c r="IJ110" s="381"/>
      <c r="IK110" s="381"/>
      <c r="IL110" s="381"/>
      <c r="IM110" s="381"/>
      <c r="IN110" s="381"/>
      <c r="IO110" s="381"/>
    </row>
    <row r="111" spans="1:249" s="382" customFormat="1" ht="17.399999999999999" customHeight="1" thickBot="1">
      <c r="A111" s="557" t="s">
        <v>224</v>
      </c>
      <c r="B111" s="557"/>
      <c r="C111" s="548"/>
      <c r="D111" s="550"/>
      <c r="E111" s="552"/>
      <c r="F111" s="554"/>
      <c r="G111" s="556"/>
      <c r="H111" s="380"/>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c r="AZ111" s="381"/>
      <c r="BA111" s="381"/>
      <c r="BB111" s="381"/>
      <c r="BC111" s="381"/>
      <c r="BD111" s="381"/>
      <c r="BE111" s="381"/>
      <c r="BF111" s="381"/>
      <c r="BG111" s="381"/>
      <c r="BH111" s="381"/>
      <c r="BI111" s="381"/>
      <c r="BJ111" s="381"/>
      <c r="BK111" s="381"/>
      <c r="BL111" s="381"/>
      <c r="BM111" s="381"/>
      <c r="BN111" s="381"/>
      <c r="BO111" s="381"/>
      <c r="BP111" s="381"/>
      <c r="BQ111" s="381"/>
      <c r="BR111" s="381"/>
      <c r="BS111" s="381"/>
      <c r="BT111" s="381"/>
      <c r="BU111" s="381"/>
      <c r="BV111" s="381"/>
      <c r="BW111" s="381"/>
      <c r="BX111" s="381"/>
      <c r="BY111" s="381"/>
      <c r="BZ111" s="381"/>
      <c r="CA111" s="381"/>
      <c r="CB111" s="381"/>
      <c r="CC111" s="381"/>
      <c r="CD111" s="381"/>
      <c r="CE111" s="381"/>
      <c r="CF111" s="381"/>
      <c r="CG111" s="381"/>
      <c r="CH111" s="381"/>
      <c r="CI111" s="381"/>
      <c r="CJ111" s="381"/>
      <c r="CK111" s="381"/>
      <c r="CL111" s="381"/>
      <c r="CM111" s="381"/>
      <c r="CN111" s="381"/>
      <c r="CO111" s="381"/>
      <c r="CP111" s="381"/>
      <c r="CQ111" s="381"/>
      <c r="CR111" s="381"/>
      <c r="CS111" s="381"/>
      <c r="CT111" s="381"/>
      <c r="CU111" s="381"/>
      <c r="CV111" s="381"/>
      <c r="CW111" s="381"/>
      <c r="CX111" s="381"/>
      <c r="CY111" s="381"/>
      <c r="CZ111" s="381"/>
      <c r="DA111" s="381"/>
      <c r="DB111" s="381"/>
      <c r="DC111" s="381"/>
      <c r="DD111" s="381"/>
      <c r="DE111" s="381"/>
      <c r="DF111" s="381"/>
      <c r="DG111" s="381"/>
      <c r="DH111" s="381"/>
      <c r="DI111" s="381"/>
      <c r="DJ111" s="381"/>
      <c r="DK111" s="381"/>
      <c r="DL111" s="381"/>
      <c r="DM111" s="381"/>
      <c r="DN111" s="381"/>
      <c r="DO111" s="381"/>
      <c r="DP111" s="381"/>
      <c r="DQ111" s="381"/>
      <c r="DR111" s="381"/>
      <c r="DS111" s="381"/>
      <c r="DT111" s="381"/>
      <c r="DU111" s="381"/>
      <c r="DV111" s="381"/>
      <c r="DW111" s="381"/>
      <c r="DX111" s="381"/>
      <c r="DY111" s="381"/>
      <c r="DZ111" s="381"/>
      <c r="EA111" s="381"/>
      <c r="EB111" s="381"/>
      <c r="EC111" s="381"/>
      <c r="ED111" s="381"/>
      <c r="EE111" s="381"/>
      <c r="EF111" s="381"/>
      <c r="EG111" s="381"/>
      <c r="EH111" s="381"/>
      <c r="EI111" s="381"/>
      <c r="EJ111" s="381"/>
      <c r="EK111" s="381"/>
      <c r="EL111" s="381"/>
      <c r="EM111" s="381"/>
      <c r="EN111" s="381"/>
      <c r="EO111" s="381"/>
      <c r="EP111" s="381"/>
      <c r="EQ111" s="381"/>
      <c r="ER111" s="381"/>
      <c r="ES111" s="381"/>
      <c r="ET111" s="381"/>
      <c r="EU111" s="381"/>
      <c r="EV111" s="381"/>
      <c r="EW111" s="381"/>
      <c r="EX111" s="381"/>
      <c r="EY111" s="381"/>
      <c r="EZ111" s="381"/>
      <c r="FA111" s="381"/>
      <c r="FB111" s="381"/>
      <c r="FC111" s="381"/>
      <c r="FD111" s="381"/>
      <c r="FE111" s="381"/>
      <c r="FF111" s="381"/>
      <c r="FG111" s="381"/>
      <c r="FH111" s="381"/>
      <c r="FI111" s="381"/>
      <c r="FJ111" s="381"/>
      <c r="FK111" s="381"/>
      <c r="FL111" s="381"/>
      <c r="FM111" s="381"/>
      <c r="FN111" s="381"/>
      <c r="FO111" s="381"/>
      <c r="FP111" s="381"/>
      <c r="FQ111" s="381"/>
      <c r="FR111" s="381"/>
      <c r="FS111" s="381"/>
      <c r="FT111" s="381"/>
      <c r="FU111" s="381"/>
      <c r="FV111" s="381"/>
      <c r="FW111" s="381"/>
      <c r="FX111" s="381"/>
      <c r="FY111" s="381"/>
      <c r="FZ111" s="381"/>
      <c r="GA111" s="381"/>
      <c r="GB111" s="381"/>
      <c r="GC111" s="381"/>
      <c r="GD111" s="381"/>
      <c r="GE111" s="381"/>
      <c r="GF111" s="381"/>
      <c r="GG111" s="381"/>
      <c r="GH111" s="381"/>
      <c r="GI111" s="381"/>
      <c r="GJ111" s="381"/>
      <c r="GK111" s="381"/>
      <c r="GL111" s="381"/>
      <c r="GM111" s="381"/>
      <c r="GN111" s="381"/>
      <c r="GO111" s="381"/>
      <c r="GP111" s="381"/>
      <c r="GQ111" s="381"/>
      <c r="GR111" s="381"/>
      <c r="GS111" s="381"/>
      <c r="GT111" s="381"/>
      <c r="GU111" s="381"/>
      <c r="GV111" s="381"/>
      <c r="GW111" s="381"/>
      <c r="GX111" s="381"/>
      <c r="GY111" s="381"/>
      <c r="GZ111" s="381"/>
      <c r="HA111" s="381"/>
      <c r="HB111" s="381"/>
      <c r="HC111" s="381"/>
      <c r="HD111" s="381"/>
      <c r="HE111" s="381"/>
      <c r="HF111" s="381"/>
      <c r="HG111" s="381"/>
      <c r="HH111" s="381"/>
      <c r="HI111" s="381"/>
      <c r="HJ111" s="381"/>
      <c r="HK111" s="381"/>
      <c r="HL111" s="381"/>
      <c r="HM111" s="381"/>
      <c r="HN111" s="381"/>
      <c r="HO111" s="381"/>
      <c r="HP111" s="381"/>
      <c r="HQ111" s="381"/>
      <c r="HR111" s="381"/>
      <c r="HS111" s="381"/>
      <c r="HT111" s="381"/>
      <c r="HU111" s="381"/>
      <c r="HV111" s="381"/>
      <c r="HW111" s="381"/>
      <c r="HX111" s="381"/>
      <c r="HY111" s="381"/>
      <c r="HZ111" s="381"/>
      <c r="IA111" s="381"/>
      <c r="IB111" s="381"/>
      <c r="IC111" s="381"/>
      <c r="ID111" s="381"/>
      <c r="IE111" s="381"/>
      <c r="IF111" s="381"/>
      <c r="IG111" s="381"/>
      <c r="IH111" s="381"/>
      <c r="II111" s="381"/>
      <c r="IJ111" s="381"/>
      <c r="IK111" s="381"/>
      <c r="IL111" s="381"/>
      <c r="IM111" s="381"/>
      <c r="IN111" s="381"/>
      <c r="IO111" s="381"/>
    </row>
    <row r="112" spans="1:249" s="260" customFormat="1" ht="69" customHeight="1">
      <c r="A112" s="311" t="s">
        <v>241</v>
      </c>
      <c r="B112" s="312" t="s">
        <v>458</v>
      </c>
      <c r="C112" s="309" t="s">
        <v>227</v>
      </c>
      <c r="D112" s="329">
        <v>22</v>
      </c>
      <c r="E112" s="285"/>
      <c r="F112" s="253">
        <f>E112*D112</f>
        <v>0</v>
      </c>
      <c r="G112" s="294"/>
      <c r="H112" s="305"/>
    </row>
    <row r="113" spans="1:8" s="260" customFormat="1" ht="71.25" customHeight="1">
      <c r="A113" s="311" t="s">
        <v>242</v>
      </c>
      <c r="B113" s="312" t="s">
        <v>459</v>
      </c>
      <c r="C113" s="309" t="s">
        <v>266</v>
      </c>
      <c r="D113" s="257">
        <v>3100</v>
      </c>
      <c r="E113" s="285"/>
      <c r="F113" s="253">
        <f t="shared" ref="F113:F144" si="2">E113*D113</f>
        <v>0</v>
      </c>
      <c r="G113" s="294"/>
      <c r="H113" s="305"/>
    </row>
    <row r="114" spans="1:8" s="260" customFormat="1">
      <c r="A114" s="311" t="s">
        <v>249</v>
      </c>
      <c r="B114" s="312" t="s">
        <v>274</v>
      </c>
      <c r="C114" s="309"/>
      <c r="D114" s="329"/>
      <c r="E114" s="245"/>
      <c r="F114" s="253">
        <f t="shared" si="2"/>
        <v>0</v>
      </c>
      <c r="G114" s="294"/>
      <c r="H114" s="305"/>
    </row>
    <row r="115" spans="1:8" s="260" customFormat="1" ht="97.5" customHeight="1">
      <c r="A115" s="314" t="s">
        <v>364</v>
      </c>
      <c r="B115" s="315" t="s">
        <v>460</v>
      </c>
      <c r="C115" s="309" t="s">
        <v>229</v>
      </c>
      <c r="D115" s="257">
        <f>18*D117</f>
        <v>2700</v>
      </c>
      <c r="E115" s="278"/>
      <c r="F115" s="253">
        <f t="shared" si="2"/>
        <v>0</v>
      </c>
      <c r="G115" s="294"/>
      <c r="H115" s="305"/>
    </row>
    <row r="116" spans="1:8" s="260" customFormat="1" ht="99" customHeight="1">
      <c r="A116" s="314" t="s">
        <v>365</v>
      </c>
      <c r="B116" s="315" t="s">
        <v>461</v>
      </c>
      <c r="C116" s="309" t="s">
        <v>229</v>
      </c>
      <c r="D116" s="257">
        <f>16*D118</f>
        <v>10592</v>
      </c>
      <c r="E116" s="278"/>
      <c r="F116" s="253">
        <f t="shared" si="2"/>
        <v>0</v>
      </c>
      <c r="G116" s="294"/>
      <c r="H116" s="305"/>
    </row>
    <row r="117" spans="1:8" s="260" customFormat="1" ht="102" customHeight="1">
      <c r="A117" s="314" t="s">
        <v>366</v>
      </c>
      <c r="B117" s="315" t="s">
        <v>462</v>
      </c>
      <c r="C117" s="309" t="s">
        <v>229</v>
      </c>
      <c r="D117" s="257">
        <v>150</v>
      </c>
      <c r="E117" s="278"/>
      <c r="F117" s="253">
        <f t="shared" si="2"/>
        <v>0</v>
      </c>
      <c r="G117" s="294"/>
      <c r="H117" s="305"/>
    </row>
    <row r="118" spans="1:8" s="260" customFormat="1" ht="99.75" customHeight="1">
      <c r="A118" s="314" t="s">
        <v>367</v>
      </c>
      <c r="B118" s="315" t="s">
        <v>463</v>
      </c>
      <c r="C118" s="309" t="s">
        <v>229</v>
      </c>
      <c r="D118" s="257">
        <v>662</v>
      </c>
      <c r="E118" s="278"/>
      <c r="F118" s="253">
        <f t="shared" si="2"/>
        <v>0</v>
      </c>
      <c r="G118" s="294"/>
      <c r="H118" s="305"/>
    </row>
    <row r="119" spans="1:8" s="260" customFormat="1" ht="99" customHeight="1">
      <c r="A119" s="314" t="s">
        <v>368</v>
      </c>
      <c r="B119" s="315" t="s">
        <v>574</v>
      </c>
      <c r="C119" s="309" t="s">
        <v>229</v>
      </c>
      <c r="D119" s="257">
        <f>8700+31776</f>
        <v>40476</v>
      </c>
      <c r="E119" s="278"/>
      <c r="F119" s="253">
        <f t="shared" si="2"/>
        <v>0</v>
      </c>
      <c r="G119" s="294"/>
      <c r="H119" s="305"/>
    </row>
    <row r="120" spans="1:8" s="260" customFormat="1" ht="35.25" customHeight="1">
      <c r="A120" s="311" t="s">
        <v>250</v>
      </c>
      <c r="B120" s="316" t="s">
        <v>263</v>
      </c>
      <c r="C120" s="383"/>
      <c r="D120" s="257"/>
      <c r="E120" s="245"/>
      <c r="F120" s="253">
        <f t="shared" si="2"/>
        <v>0</v>
      </c>
      <c r="G120" s="294"/>
      <c r="H120" s="305"/>
    </row>
    <row r="121" spans="1:8" s="260" customFormat="1" ht="112.5" customHeight="1">
      <c r="A121" s="314" t="s">
        <v>369</v>
      </c>
      <c r="B121" s="315" t="s">
        <v>464</v>
      </c>
      <c r="C121" s="309" t="s">
        <v>229</v>
      </c>
      <c r="D121" s="288">
        <v>2</v>
      </c>
      <c r="E121" s="289"/>
      <c r="F121" s="253">
        <f t="shared" si="2"/>
        <v>0</v>
      </c>
      <c r="G121" s="294"/>
      <c r="H121" s="305"/>
    </row>
    <row r="122" spans="1:8" s="260" customFormat="1" ht="104.25" customHeight="1">
      <c r="A122" s="314" t="s">
        <v>370</v>
      </c>
      <c r="B122" s="315" t="s">
        <v>465</v>
      </c>
      <c r="C122" s="309" t="s">
        <v>229</v>
      </c>
      <c r="D122" s="289">
        <f>48+3</f>
        <v>51</v>
      </c>
      <c r="E122" s="285"/>
      <c r="F122" s="253">
        <f t="shared" si="2"/>
        <v>0</v>
      </c>
      <c r="G122" s="294"/>
      <c r="H122" s="305"/>
    </row>
    <row r="123" spans="1:8" s="260" customFormat="1">
      <c r="A123" s="311" t="s">
        <v>251</v>
      </c>
      <c r="B123" s="312" t="s">
        <v>279</v>
      </c>
      <c r="C123" s="309"/>
      <c r="D123" s="329"/>
      <c r="E123" s="245"/>
      <c r="F123" s="253">
        <f t="shared" si="2"/>
        <v>0</v>
      </c>
      <c r="G123" s="294"/>
      <c r="H123" s="305"/>
    </row>
    <row r="124" spans="1:8" s="260" customFormat="1" ht="74.25" customHeight="1">
      <c r="A124" s="314" t="s">
        <v>371</v>
      </c>
      <c r="B124" s="315" t="s">
        <v>403</v>
      </c>
      <c r="C124" s="309" t="s">
        <v>229</v>
      </c>
      <c r="D124" s="286">
        <v>2</v>
      </c>
      <c r="E124" s="285"/>
      <c r="F124" s="253">
        <f t="shared" si="2"/>
        <v>0</v>
      </c>
      <c r="G124" s="294"/>
      <c r="H124" s="305"/>
    </row>
    <row r="125" spans="1:8" s="260" customFormat="1">
      <c r="A125" s="314" t="s">
        <v>372</v>
      </c>
      <c r="B125" s="315" t="s">
        <v>288</v>
      </c>
      <c r="C125" s="309" t="s">
        <v>229</v>
      </c>
      <c r="D125" s="289">
        <f>48+3</f>
        <v>51</v>
      </c>
      <c r="E125" s="285"/>
      <c r="F125" s="253">
        <f t="shared" si="2"/>
        <v>0</v>
      </c>
      <c r="G125" s="294"/>
      <c r="H125" s="305"/>
    </row>
    <row r="126" spans="1:8" s="260" customFormat="1" ht="117.65" customHeight="1">
      <c r="A126" s="314" t="s">
        <v>277</v>
      </c>
      <c r="B126" s="312" t="s">
        <v>466</v>
      </c>
      <c r="C126" s="309" t="s">
        <v>228</v>
      </c>
      <c r="D126" s="297">
        <v>99</v>
      </c>
      <c r="E126" s="296"/>
      <c r="F126" s="253">
        <f t="shared" si="2"/>
        <v>0</v>
      </c>
      <c r="G126" s="294"/>
      <c r="H126" s="305"/>
    </row>
    <row r="127" spans="1:8" s="260" customFormat="1" ht="27.75" customHeight="1">
      <c r="A127" s="311" t="s">
        <v>580</v>
      </c>
      <c r="B127" s="312" t="s">
        <v>294</v>
      </c>
      <c r="C127" s="309" t="s">
        <v>228</v>
      </c>
      <c r="D127" s="297">
        <f>3276/78*15</f>
        <v>630</v>
      </c>
      <c r="E127" s="296"/>
      <c r="F127" s="253">
        <f t="shared" si="2"/>
        <v>0</v>
      </c>
      <c r="G127" s="294"/>
      <c r="H127" s="305"/>
    </row>
    <row r="128" spans="1:8" s="260" customFormat="1" ht="30.75" customHeight="1">
      <c r="A128" s="311" t="s">
        <v>276</v>
      </c>
      <c r="B128" s="312" t="s">
        <v>467</v>
      </c>
      <c r="C128" s="309" t="s">
        <v>230</v>
      </c>
      <c r="D128" s="298">
        <f>22.7/115.6*15</f>
        <v>2.9455017301038064</v>
      </c>
      <c r="E128" s="296"/>
      <c r="F128" s="253">
        <f t="shared" si="2"/>
        <v>0</v>
      </c>
      <c r="G128" s="294"/>
      <c r="H128" s="305"/>
    </row>
    <row r="129" spans="1:8" s="260" customFormat="1" ht="60.75" customHeight="1">
      <c r="A129" s="311" t="s">
        <v>267</v>
      </c>
      <c r="B129" s="317" t="s">
        <v>468</v>
      </c>
      <c r="C129" s="310" t="s">
        <v>230</v>
      </c>
      <c r="D129" s="276">
        <f>56.1/115.6*15</f>
        <v>7.2794117647058831</v>
      </c>
      <c r="E129" s="285"/>
      <c r="F129" s="253">
        <f t="shared" si="2"/>
        <v>0</v>
      </c>
      <c r="G129" s="294"/>
      <c r="H129" s="305"/>
    </row>
    <row r="130" spans="1:8" s="260" customFormat="1" ht="33.75" customHeight="1">
      <c r="A130" s="311" t="s">
        <v>252</v>
      </c>
      <c r="B130" s="312" t="s">
        <v>469</v>
      </c>
      <c r="C130" s="309" t="s">
        <v>230</v>
      </c>
      <c r="D130" s="287">
        <f>22.7/115.6*15</f>
        <v>2.9455017301038064</v>
      </c>
      <c r="E130" s="285"/>
      <c r="F130" s="253">
        <f t="shared" si="2"/>
        <v>0</v>
      </c>
      <c r="G130" s="294"/>
      <c r="H130" s="305"/>
    </row>
    <row r="131" spans="1:8" s="385" customFormat="1" ht="59.25" customHeight="1">
      <c r="A131" s="311" t="s">
        <v>253</v>
      </c>
      <c r="B131" s="317" t="s">
        <v>383</v>
      </c>
      <c r="C131" s="309" t="s">
        <v>230</v>
      </c>
      <c r="D131" s="275">
        <f t="shared" ref="D131" si="3">75/16*2</f>
        <v>9.375</v>
      </c>
      <c r="E131" s="285"/>
      <c r="F131" s="253">
        <f t="shared" si="2"/>
        <v>0</v>
      </c>
      <c r="G131" s="294"/>
      <c r="H131" s="384"/>
    </row>
    <row r="132" spans="1:8" s="385" customFormat="1" ht="50.25" customHeight="1">
      <c r="A132" s="311" t="s">
        <v>373</v>
      </c>
      <c r="B132" s="312" t="s">
        <v>324</v>
      </c>
      <c r="C132" s="309" t="s">
        <v>230</v>
      </c>
      <c r="D132" s="276">
        <f t="shared" ref="D132" si="4">12/115.6*15</f>
        <v>1.5570934256055364</v>
      </c>
      <c r="E132" s="285"/>
      <c r="F132" s="253">
        <f t="shared" si="2"/>
        <v>0</v>
      </c>
      <c r="G132" s="294"/>
      <c r="H132" s="384"/>
    </row>
    <row r="133" spans="1:8" s="385" customFormat="1" ht="58.5" customHeight="1">
      <c r="A133" s="311" t="s">
        <v>254</v>
      </c>
      <c r="B133" s="312" t="s">
        <v>470</v>
      </c>
      <c r="C133" s="309" t="s">
        <v>230</v>
      </c>
      <c r="D133" s="276">
        <f>15/16*2</f>
        <v>1.875</v>
      </c>
      <c r="E133" s="285"/>
      <c r="F133" s="253">
        <f t="shared" si="2"/>
        <v>0</v>
      </c>
      <c r="G133" s="294"/>
      <c r="H133" s="384"/>
    </row>
    <row r="134" spans="1:8" s="260" customFormat="1">
      <c r="A134" s="311" t="s">
        <v>248</v>
      </c>
      <c r="B134" s="312" t="s">
        <v>231</v>
      </c>
      <c r="C134" s="309"/>
      <c r="D134" s="329"/>
      <c r="E134" s="245"/>
      <c r="F134" s="253">
        <f t="shared" si="2"/>
        <v>0</v>
      </c>
      <c r="G134" s="294"/>
      <c r="H134" s="305"/>
    </row>
    <row r="135" spans="1:8" s="260" customFormat="1" ht="87" customHeight="1">
      <c r="A135" s="314" t="s">
        <v>264</v>
      </c>
      <c r="B135" s="315" t="s">
        <v>471</v>
      </c>
      <c r="C135" s="309" t="s">
        <v>230</v>
      </c>
      <c r="D135" s="270">
        <v>86</v>
      </c>
      <c r="E135" s="290"/>
      <c r="F135" s="253">
        <f t="shared" si="2"/>
        <v>0</v>
      </c>
      <c r="G135" s="294"/>
      <c r="H135" s="305"/>
    </row>
    <row r="136" spans="1:8" s="260" customFormat="1" ht="80.25" customHeight="1">
      <c r="A136" s="314" t="s">
        <v>265</v>
      </c>
      <c r="B136" s="315" t="s">
        <v>472</v>
      </c>
      <c r="C136" s="309" t="s">
        <v>230</v>
      </c>
      <c r="D136" s="270">
        <v>41</v>
      </c>
      <c r="E136" s="290"/>
      <c r="F136" s="253">
        <f t="shared" si="2"/>
        <v>0</v>
      </c>
      <c r="G136" s="294"/>
      <c r="H136" s="305"/>
    </row>
    <row r="137" spans="1:8" s="260" customFormat="1" ht="87" customHeight="1">
      <c r="A137" s="314" t="s">
        <v>338</v>
      </c>
      <c r="B137" s="315" t="s">
        <v>473</v>
      </c>
      <c r="C137" s="309" t="s">
        <v>230</v>
      </c>
      <c r="D137" s="329">
        <v>7.8</v>
      </c>
      <c r="E137" s="290"/>
      <c r="F137" s="253">
        <f t="shared" si="2"/>
        <v>0</v>
      </c>
      <c r="G137" s="294"/>
      <c r="H137" s="305"/>
    </row>
    <row r="138" spans="1:8" s="260" customFormat="1" ht="82.5" customHeight="1">
      <c r="A138" s="314" t="s">
        <v>339</v>
      </c>
      <c r="B138" s="315" t="s">
        <v>474</v>
      </c>
      <c r="C138" s="309" t="s">
        <v>230</v>
      </c>
      <c r="D138" s="329">
        <v>1.6</v>
      </c>
      <c r="E138" s="290"/>
      <c r="F138" s="253">
        <f t="shared" si="2"/>
        <v>0</v>
      </c>
      <c r="G138" s="294"/>
      <c r="H138" s="305"/>
    </row>
    <row r="139" spans="1:8" s="260" customFormat="1" ht="29.25" customHeight="1">
      <c r="A139" s="314" t="s">
        <v>340</v>
      </c>
      <c r="B139" s="315" t="s">
        <v>475</v>
      </c>
      <c r="C139" s="309" t="s">
        <v>230</v>
      </c>
      <c r="D139" s="329">
        <v>15.6</v>
      </c>
      <c r="E139" s="290"/>
      <c r="F139" s="253">
        <f t="shared" si="2"/>
        <v>0</v>
      </c>
      <c r="G139" s="294"/>
      <c r="H139" s="305"/>
    </row>
    <row r="140" spans="1:8" s="260" customFormat="1" ht="26">
      <c r="A140" s="314" t="s">
        <v>342</v>
      </c>
      <c r="B140" s="315" t="s">
        <v>476</v>
      </c>
      <c r="C140" s="309" t="s">
        <v>230</v>
      </c>
      <c r="D140" s="269">
        <f>5/115.6*15</f>
        <v>0.6487889273356402</v>
      </c>
      <c r="E140" s="290"/>
      <c r="F140" s="253">
        <f t="shared" si="2"/>
        <v>0</v>
      </c>
      <c r="G140" s="294"/>
      <c r="H140" s="305"/>
    </row>
    <row r="141" spans="1:8" s="260" customFormat="1" ht="46.5" customHeight="1">
      <c r="A141" s="311" t="s">
        <v>269</v>
      </c>
      <c r="B141" s="318" t="s">
        <v>404</v>
      </c>
      <c r="C141" s="309" t="s">
        <v>229</v>
      </c>
      <c r="D141" s="291">
        <v>2</v>
      </c>
      <c r="E141" s="292"/>
      <c r="F141" s="253">
        <f t="shared" si="2"/>
        <v>0</v>
      </c>
      <c r="G141" s="294"/>
      <c r="H141" s="305"/>
    </row>
    <row r="142" spans="1:8" s="260" customFormat="1" ht="52.25" customHeight="1">
      <c r="A142" s="311" t="s">
        <v>341</v>
      </c>
      <c r="B142" s="318" t="s">
        <v>582</v>
      </c>
      <c r="C142" s="309" t="s">
        <v>229</v>
      </c>
      <c r="D142" s="289">
        <f>48+3</f>
        <v>51</v>
      </c>
      <c r="E142" s="292"/>
      <c r="F142" s="253">
        <f t="shared" si="2"/>
        <v>0</v>
      </c>
      <c r="G142" s="294"/>
      <c r="H142" s="305"/>
    </row>
    <row r="143" spans="1:8" s="260" customFormat="1" ht="42" customHeight="1">
      <c r="A143" s="311" t="s">
        <v>245</v>
      </c>
      <c r="B143" s="312" t="s">
        <v>477</v>
      </c>
      <c r="C143" s="309" t="s">
        <v>280</v>
      </c>
      <c r="D143" s="329">
        <f>10100/5</f>
        <v>2020</v>
      </c>
      <c r="E143" s="290"/>
      <c r="F143" s="253">
        <f t="shared" si="2"/>
        <v>0</v>
      </c>
      <c r="G143" s="294"/>
      <c r="H143" s="305"/>
    </row>
    <row r="144" spans="1:8" s="260" customFormat="1" ht="94.5" customHeight="1" thickBot="1">
      <c r="A144" s="311" t="s">
        <v>232</v>
      </c>
      <c r="B144" s="312" t="s">
        <v>390</v>
      </c>
      <c r="C144" s="309" t="s">
        <v>259</v>
      </c>
      <c r="D144" s="297">
        <v>0.13</v>
      </c>
      <c r="E144" s="302"/>
      <c r="F144" s="253">
        <f t="shared" si="2"/>
        <v>0</v>
      </c>
      <c r="G144" s="294"/>
      <c r="H144" s="305"/>
    </row>
    <row r="145" spans="1:249" s="260" customFormat="1">
      <c r="A145" s="524" t="s">
        <v>615</v>
      </c>
      <c r="B145" s="525"/>
      <c r="C145" s="525"/>
      <c r="D145" s="525"/>
      <c r="E145" s="330"/>
      <c r="F145" s="479">
        <f>SUM(F112:F144)</f>
        <v>0</v>
      </c>
      <c r="G145" s="303"/>
      <c r="H145" s="261"/>
    </row>
    <row r="146" spans="1:249" s="260" customFormat="1">
      <c r="A146" s="526" t="s">
        <v>247</v>
      </c>
      <c r="B146" s="527"/>
      <c r="C146" s="527"/>
      <c r="D146" s="527"/>
      <c r="E146" s="331"/>
      <c r="F146" s="254">
        <f>F145*0.2</f>
        <v>0</v>
      </c>
      <c r="G146" s="304"/>
      <c r="H146" s="261"/>
    </row>
    <row r="147" spans="1:249" s="260" customFormat="1" ht="16" thickBot="1">
      <c r="A147" s="528" t="s">
        <v>616</v>
      </c>
      <c r="B147" s="529"/>
      <c r="C147" s="529"/>
      <c r="D147" s="529"/>
      <c r="E147" s="332"/>
      <c r="F147" s="255">
        <f>F145+F146</f>
        <v>0</v>
      </c>
      <c r="G147" s="304"/>
      <c r="H147" s="261"/>
    </row>
    <row r="148" spans="1:249" s="260" customFormat="1" ht="50.25" customHeight="1" thickBot="1">
      <c r="A148" s="530" t="s">
        <v>219</v>
      </c>
      <c r="B148" s="532" t="s">
        <v>220</v>
      </c>
      <c r="C148" s="534" t="s">
        <v>240</v>
      </c>
      <c r="D148" s="535"/>
      <c r="E148" s="536" t="s">
        <v>221</v>
      </c>
      <c r="F148" s="537"/>
      <c r="G148" s="412"/>
      <c r="H148" s="261"/>
    </row>
    <row r="149" spans="1:249" s="260" customFormat="1" ht="27.65" customHeight="1">
      <c r="A149" s="531"/>
      <c r="B149" s="533"/>
      <c r="C149" s="538" t="s">
        <v>222</v>
      </c>
      <c r="D149" s="539" t="s">
        <v>223</v>
      </c>
      <c r="E149" s="540" t="s">
        <v>610</v>
      </c>
      <c r="F149" s="541" t="s">
        <v>611</v>
      </c>
      <c r="G149" s="520"/>
      <c r="H149" s="261"/>
    </row>
    <row r="150" spans="1:249" s="260" customFormat="1" ht="16" thickBot="1">
      <c r="A150" s="522" t="s">
        <v>301</v>
      </c>
      <c r="B150" s="523"/>
      <c r="C150" s="538"/>
      <c r="D150" s="539"/>
      <c r="E150" s="540"/>
      <c r="F150" s="541"/>
      <c r="G150" s="521"/>
      <c r="H150" s="261"/>
    </row>
    <row r="151" spans="1:249" s="260" customFormat="1">
      <c r="A151" s="299" t="s">
        <v>241</v>
      </c>
      <c r="B151" s="242" t="s">
        <v>305</v>
      </c>
      <c r="C151" s="328" t="s">
        <v>226</v>
      </c>
      <c r="D151" s="297">
        <v>0.13</v>
      </c>
      <c r="E151" s="300"/>
      <c r="F151" s="253">
        <f t="shared" ref="F151:F152" si="5">E151*D151</f>
        <v>0</v>
      </c>
      <c r="G151" s="411"/>
      <c r="H151" s="261"/>
    </row>
    <row r="152" spans="1:249" s="260" customFormat="1" ht="26.5" thickBot="1">
      <c r="A152" s="250" t="s">
        <v>242</v>
      </c>
      <c r="B152" s="248" t="s">
        <v>310</v>
      </c>
      <c r="C152" s="328" t="s">
        <v>226</v>
      </c>
      <c r="D152" s="297">
        <v>0.13</v>
      </c>
      <c r="E152" s="300"/>
      <c r="F152" s="253">
        <f t="shared" si="5"/>
        <v>0</v>
      </c>
      <c r="G152" s="293"/>
      <c r="H152" s="261"/>
    </row>
    <row r="153" spans="1:249" s="260" customFormat="1">
      <c r="A153" s="524" t="s">
        <v>613</v>
      </c>
      <c r="B153" s="525"/>
      <c r="C153" s="525"/>
      <c r="D153" s="525"/>
      <c r="E153" s="333"/>
      <c r="F153" s="262">
        <f>SUM(F151:F152)</f>
        <v>0</v>
      </c>
      <c r="G153" s="249"/>
      <c r="H153" s="261"/>
    </row>
    <row r="154" spans="1:249" s="260" customFormat="1">
      <c r="A154" s="526" t="s">
        <v>247</v>
      </c>
      <c r="B154" s="527"/>
      <c r="C154" s="527"/>
      <c r="D154" s="527"/>
      <c r="E154" s="331"/>
      <c r="F154" s="256">
        <f>F153*0.2</f>
        <v>0</v>
      </c>
      <c r="G154" s="249"/>
      <c r="H154" s="261"/>
    </row>
    <row r="155" spans="1:249" s="260" customFormat="1" ht="16" thickBot="1">
      <c r="A155" s="528" t="s">
        <v>614</v>
      </c>
      <c r="B155" s="529"/>
      <c r="C155" s="529"/>
      <c r="D155" s="529"/>
      <c r="E155" s="332"/>
      <c r="F155" s="263">
        <f>F153+F154</f>
        <v>0</v>
      </c>
      <c r="G155" s="249"/>
      <c r="H155" s="261"/>
    </row>
    <row r="157" spans="1:249" ht="16" thickBot="1">
      <c r="A157" s="559" t="s">
        <v>319</v>
      </c>
      <c r="B157" s="560"/>
      <c r="C157" s="560"/>
      <c r="D157" s="560"/>
      <c r="E157" s="560"/>
      <c r="F157" s="560"/>
      <c r="G157" s="560"/>
      <c r="H157" s="261"/>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0"/>
      <c r="BX157" s="260"/>
      <c r="BY157" s="260"/>
      <c r="BZ157" s="260"/>
      <c r="CA157" s="260"/>
      <c r="CB157" s="260"/>
      <c r="CC157" s="260"/>
      <c r="CD157" s="260"/>
      <c r="CE157" s="260"/>
      <c r="CF157" s="260"/>
      <c r="CG157" s="260"/>
      <c r="CH157" s="260"/>
      <c r="CI157" s="260"/>
      <c r="CJ157" s="260"/>
      <c r="CK157" s="260"/>
      <c r="CL157" s="260"/>
      <c r="CM157" s="260"/>
      <c r="CN157" s="260"/>
      <c r="CO157" s="260"/>
      <c r="CP157" s="260"/>
      <c r="CQ157" s="260"/>
      <c r="CR157" s="260"/>
      <c r="CS157" s="260"/>
      <c r="CT157" s="260"/>
      <c r="CU157" s="260"/>
      <c r="CV157" s="260"/>
      <c r="CW157" s="260"/>
      <c r="CX157" s="260"/>
      <c r="CY157" s="260"/>
      <c r="CZ157" s="260"/>
      <c r="DA157" s="260"/>
      <c r="DB157" s="260"/>
      <c r="DC157" s="260"/>
      <c r="DD157" s="260"/>
      <c r="DE157" s="260"/>
      <c r="DF157" s="260"/>
      <c r="DG157" s="260"/>
      <c r="DH157" s="260"/>
      <c r="DI157" s="260"/>
      <c r="DJ157" s="260"/>
      <c r="DK157" s="260"/>
      <c r="DL157" s="260"/>
      <c r="DM157" s="260"/>
      <c r="DN157" s="260"/>
      <c r="DO157" s="260"/>
      <c r="DP157" s="260"/>
      <c r="DQ157" s="260"/>
      <c r="DR157" s="260"/>
      <c r="DS157" s="260"/>
      <c r="DT157" s="260"/>
      <c r="DU157" s="260"/>
      <c r="DV157" s="260"/>
      <c r="DW157" s="260"/>
      <c r="DX157" s="260"/>
      <c r="DY157" s="260"/>
      <c r="DZ157" s="260"/>
      <c r="EA157" s="260"/>
      <c r="EB157" s="260"/>
      <c r="EC157" s="260"/>
      <c r="ED157" s="260"/>
      <c r="EE157" s="260"/>
      <c r="EF157" s="260"/>
      <c r="EG157" s="260"/>
      <c r="EH157" s="260"/>
      <c r="EI157" s="260"/>
      <c r="EJ157" s="260"/>
      <c r="EK157" s="260"/>
      <c r="EL157" s="260"/>
      <c r="EM157" s="260"/>
      <c r="EN157" s="260"/>
      <c r="EO157" s="260"/>
      <c r="EP157" s="260"/>
      <c r="EQ157" s="260"/>
      <c r="ER157" s="260"/>
      <c r="ES157" s="260"/>
      <c r="ET157" s="260"/>
      <c r="EU157" s="260"/>
      <c r="EV157" s="260"/>
      <c r="EW157" s="260"/>
      <c r="EX157" s="260"/>
      <c r="EY157" s="260"/>
      <c r="EZ157" s="260"/>
      <c r="FA157" s="260"/>
      <c r="FB157" s="260"/>
      <c r="FC157" s="260"/>
      <c r="FD157" s="260"/>
      <c r="FE157" s="260"/>
      <c r="FF157" s="260"/>
      <c r="FG157" s="260"/>
      <c r="FH157" s="260"/>
      <c r="FI157" s="260"/>
      <c r="FJ157" s="260"/>
      <c r="FK157" s="260"/>
      <c r="FL157" s="260"/>
      <c r="FM157" s="260"/>
      <c r="FN157" s="260"/>
      <c r="FO157" s="260"/>
      <c r="FP157" s="260"/>
      <c r="FQ157" s="260"/>
      <c r="FR157" s="260"/>
      <c r="FS157" s="260"/>
      <c r="FT157" s="260"/>
      <c r="FU157" s="260"/>
      <c r="FV157" s="260"/>
      <c r="FW157" s="260"/>
      <c r="FX157" s="260"/>
      <c r="FY157" s="260"/>
      <c r="FZ157" s="260"/>
      <c r="GA157" s="260"/>
      <c r="GB157" s="260"/>
      <c r="GC157" s="260"/>
      <c r="GD157" s="260"/>
      <c r="GE157" s="260"/>
      <c r="GF157" s="260"/>
      <c r="GG157" s="260"/>
      <c r="GH157" s="260"/>
      <c r="GI157" s="260"/>
      <c r="GJ157" s="260"/>
      <c r="GK157" s="260"/>
      <c r="GL157" s="260"/>
      <c r="GM157" s="260"/>
      <c r="GN157" s="260"/>
      <c r="GO157" s="260"/>
      <c r="GP157" s="260"/>
      <c r="GQ157" s="260"/>
      <c r="GR157" s="260"/>
      <c r="GS157" s="260"/>
      <c r="GT157" s="260"/>
      <c r="GU157" s="260"/>
      <c r="GV157" s="260"/>
      <c r="GW157" s="260"/>
      <c r="GX157" s="260"/>
      <c r="GY157" s="260"/>
      <c r="GZ157" s="260"/>
      <c r="HA157" s="260"/>
      <c r="HB157" s="260"/>
      <c r="HC157" s="260"/>
      <c r="HD157" s="260"/>
      <c r="HE157" s="260"/>
      <c r="HF157" s="260"/>
      <c r="HG157" s="260"/>
      <c r="HH157" s="260"/>
      <c r="HI157" s="260"/>
      <c r="HJ157" s="260"/>
      <c r="HK157" s="260"/>
      <c r="HL157" s="260"/>
      <c r="HM157" s="260"/>
      <c r="HN157" s="260"/>
      <c r="HO157" s="260"/>
      <c r="HP157" s="260"/>
      <c r="HQ157" s="260"/>
      <c r="HR157" s="260"/>
      <c r="HS157" s="260"/>
      <c r="HT157" s="260"/>
      <c r="HU157" s="260"/>
      <c r="HV157" s="260"/>
      <c r="HW157" s="260"/>
      <c r="HX157" s="260"/>
      <c r="HY157" s="260"/>
      <c r="HZ157" s="260"/>
      <c r="IA157" s="260"/>
      <c r="IB157" s="260"/>
      <c r="IC157" s="260"/>
      <c r="ID157" s="260"/>
      <c r="IE157" s="260"/>
      <c r="IF157" s="260"/>
      <c r="IG157" s="260"/>
      <c r="IH157" s="260"/>
      <c r="II157" s="260"/>
      <c r="IJ157" s="260"/>
      <c r="IK157" s="260"/>
      <c r="IL157" s="260"/>
      <c r="IM157" s="260"/>
      <c r="IN157" s="260"/>
      <c r="IO157" s="260"/>
    </row>
    <row r="158" spans="1:249" s="382" customFormat="1" ht="42" customHeight="1" thickBot="1">
      <c r="A158" s="530" t="s">
        <v>219</v>
      </c>
      <c r="B158" s="532" t="s">
        <v>220</v>
      </c>
      <c r="C158" s="544" t="s">
        <v>246</v>
      </c>
      <c r="D158" s="545"/>
      <c r="E158" s="546" t="s">
        <v>221</v>
      </c>
      <c r="F158" s="546"/>
      <c r="G158" s="391"/>
      <c r="H158" s="380"/>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1"/>
      <c r="BM158" s="381"/>
      <c r="BN158" s="381"/>
      <c r="BO158" s="381"/>
      <c r="BP158" s="381"/>
      <c r="BQ158" s="381"/>
      <c r="BR158" s="381"/>
      <c r="BS158" s="381"/>
      <c r="BT158" s="381"/>
      <c r="BU158" s="381"/>
      <c r="BV158" s="381"/>
      <c r="BW158" s="381"/>
      <c r="BX158" s="381"/>
      <c r="BY158" s="381"/>
      <c r="BZ158" s="381"/>
      <c r="CA158" s="381"/>
      <c r="CB158" s="381"/>
      <c r="CC158" s="381"/>
      <c r="CD158" s="381"/>
      <c r="CE158" s="381"/>
      <c r="CF158" s="381"/>
      <c r="CG158" s="381"/>
      <c r="CH158" s="381"/>
      <c r="CI158" s="381"/>
      <c r="CJ158" s="381"/>
      <c r="CK158" s="381"/>
      <c r="CL158" s="381"/>
      <c r="CM158" s="381"/>
      <c r="CN158" s="381"/>
      <c r="CO158" s="381"/>
      <c r="CP158" s="381"/>
      <c r="CQ158" s="381"/>
      <c r="CR158" s="381"/>
      <c r="CS158" s="381"/>
      <c r="CT158" s="381"/>
      <c r="CU158" s="381"/>
      <c r="CV158" s="381"/>
      <c r="CW158" s="381"/>
      <c r="CX158" s="381"/>
      <c r="CY158" s="381"/>
      <c r="CZ158" s="381"/>
      <c r="DA158" s="381"/>
      <c r="DB158" s="381"/>
      <c r="DC158" s="381"/>
      <c r="DD158" s="381"/>
      <c r="DE158" s="381"/>
      <c r="DF158" s="381"/>
      <c r="DG158" s="381"/>
      <c r="DH158" s="381"/>
      <c r="DI158" s="381"/>
      <c r="DJ158" s="381"/>
      <c r="DK158" s="381"/>
      <c r="DL158" s="381"/>
      <c r="DM158" s="381"/>
      <c r="DN158" s="381"/>
      <c r="DO158" s="381"/>
      <c r="DP158" s="381"/>
      <c r="DQ158" s="381"/>
      <c r="DR158" s="381"/>
      <c r="DS158" s="381"/>
      <c r="DT158" s="381"/>
      <c r="DU158" s="381"/>
      <c r="DV158" s="381"/>
      <c r="DW158" s="381"/>
      <c r="DX158" s="381"/>
      <c r="DY158" s="381"/>
      <c r="DZ158" s="381"/>
      <c r="EA158" s="381"/>
      <c r="EB158" s="381"/>
      <c r="EC158" s="381"/>
      <c r="ED158" s="381"/>
      <c r="EE158" s="381"/>
      <c r="EF158" s="381"/>
      <c r="EG158" s="381"/>
      <c r="EH158" s="381"/>
      <c r="EI158" s="381"/>
      <c r="EJ158" s="381"/>
      <c r="EK158" s="381"/>
      <c r="EL158" s="381"/>
      <c r="EM158" s="381"/>
      <c r="EN158" s="381"/>
      <c r="EO158" s="381"/>
      <c r="EP158" s="381"/>
      <c r="EQ158" s="381"/>
      <c r="ER158" s="381"/>
      <c r="ES158" s="381"/>
      <c r="ET158" s="381"/>
      <c r="EU158" s="381"/>
      <c r="EV158" s="381"/>
      <c r="EW158" s="381"/>
      <c r="EX158" s="381"/>
      <c r="EY158" s="381"/>
      <c r="EZ158" s="381"/>
      <c r="FA158" s="381"/>
      <c r="FB158" s="381"/>
      <c r="FC158" s="381"/>
      <c r="FD158" s="381"/>
      <c r="FE158" s="381"/>
      <c r="FF158" s="381"/>
      <c r="FG158" s="381"/>
      <c r="FH158" s="381"/>
      <c r="FI158" s="381"/>
      <c r="FJ158" s="381"/>
      <c r="FK158" s="381"/>
      <c r="FL158" s="381"/>
      <c r="FM158" s="381"/>
      <c r="FN158" s="381"/>
      <c r="FO158" s="381"/>
      <c r="FP158" s="381"/>
      <c r="FQ158" s="381"/>
      <c r="FR158" s="381"/>
      <c r="FS158" s="381"/>
      <c r="FT158" s="381"/>
      <c r="FU158" s="381"/>
      <c r="FV158" s="381"/>
      <c r="FW158" s="381"/>
      <c r="FX158" s="381"/>
      <c r="FY158" s="381"/>
      <c r="FZ158" s="381"/>
      <c r="GA158" s="381"/>
      <c r="GB158" s="381"/>
      <c r="GC158" s="381"/>
      <c r="GD158" s="381"/>
      <c r="GE158" s="381"/>
      <c r="GF158" s="381"/>
      <c r="GG158" s="381"/>
      <c r="GH158" s="381"/>
      <c r="GI158" s="381"/>
      <c r="GJ158" s="381"/>
      <c r="GK158" s="381"/>
      <c r="GL158" s="381"/>
      <c r="GM158" s="381"/>
      <c r="GN158" s="381"/>
      <c r="GO158" s="381"/>
      <c r="GP158" s="381"/>
      <c r="GQ158" s="381"/>
      <c r="GR158" s="381"/>
      <c r="GS158" s="381"/>
      <c r="GT158" s="381"/>
      <c r="GU158" s="381"/>
      <c r="GV158" s="381"/>
      <c r="GW158" s="381"/>
      <c r="GX158" s="381"/>
      <c r="GY158" s="381"/>
      <c r="GZ158" s="381"/>
      <c r="HA158" s="381"/>
      <c r="HB158" s="381"/>
      <c r="HC158" s="381"/>
      <c r="HD158" s="381"/>
      <c r="HE158" s="381"/>
      <c r="HF158" s="381"/>
      <c r="HG158" s="381"/>
      <c r="HH158" s="381"/>
      <c r="HI158" s="381"/>
      <c r="HJ158" s="381"/>
      <c r="HK158" s="381"/>
      <c r="HL158" s="381"/>
      <c r="HM158" s="381"/>
      <c r="HN158" s="381"/>
      <c r="HO158" s="381"/>
      <c r="HP158" s="381"/>
      <c r="HQ158" s="381"/>
      <c r="HR158" s="381"/>
      <c r="HS158" s="381"/>
      <c r="HT158" s="381"/>
      <c r="HU158" s="381"/>
      <c r="HV158" s="381"/>
      <c r="HW158" s="381"/>
      <c r="HX158" s="381"/>
      <c r="HY158" s="381"/>
      <c r="HZ158" s="381"/>
      <c r="IA158" s="381"/>
      <c r="IB158" s="381"/>
      <c r="IC158" s="381"/>
      <c r="ID158" s="381"/>
      <c r="IE158" s="381"/>
      <c r="IF158" s="381"/>
      <c r="IG158" s="381"/>
      <c r="IH158" s="381"/>
      <c r="II158" s="381"/>
      <c r="IJ158" s="381"/>
      <c r="IK158" s="381"/>
      <c r="IL158" s="381"/>
      <c r="IM158" s="381"/>
      <c r="IN158" s="381"/>
      <c r="IO158" s="381"/>
    </row>
    <row r="159" spans="1:249" s="382" customFormat="1" ht="20" customHeight="1">
      <c r="A159" s="531"/>
      <c r="B159" s="533"/>
      <c r="C159" s="547" t="s">
        <v>222</v>
      </c>
      <c r="D159" s="549" t="s">
        <v>223</v>
      </c>
      <c r="E159" s="551" t="s">
        <v>610</v>
      </c>
      <c r="F159" s="553" t="s">
        <v>611</v>
      </c>
      <c r="G159" s="555"/>
      <c r="H159" s="380"/>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c r="BA159" s="381"/>
      <c r="BB159" s="381"/>
      <c r="BC159" s="381"/>
      <c r="BD159" s="381"/>
      <c r="BE159" s="381"/>
      <c r="BF159" s="381"/>
      <c r="BG159" s="381"/>
      <c r="BH159" s="381"/>
      <c r="BI159" s="381"/>
      <c r="BJ159" s="381"/>
      <c r="BK159" s="381"/>
      <c r="BL159" s="381"/>
      <c r="BM159" s="381"/>
      <c r="BN159" s="381"/>
      <c r="BO159" s="381"/>
      <c r="BP159" s="381"/>
      <c r="BQ159" s="381"/>
      <c r="BR159" s="381"/>
      <c r="BS159" s="381"/>
      <c r="BT159" s="381"/>
      <c r="BU159" s="381"/>
      <c r="BV159" s="381"/>
      <c r="BW159" s="381"/>
      <c r="BX159" s="381"/>
      <c r="BY159" s="381"/>
      <c r="BZ159" s="381"/>
      <c r="CA159" s="381"/>
      <c r="CB159" s="381"/>
      <c r="CC159" s="381"/>
      <c r="CD159" s="381"/>
      <c r="CE159" s="381"/>
      <c r="CF159" s="381"/>
      <c r="CG159" s="381"/>
      <c r="CH159" s="381"/>
      <c r="CI159" s="381"/>
      <c r="CJ159" s="381"/>
      <c r="CK159" s="381"/>
      <c r="CL159" s="381"/>
      <c r="CM159" s="381"/>
      <c r="CN159" s="381"/>
      <c r="CO159" s="381"/>
      <c r="CP159" s="381"/>
      <c r="CQ159" s="381"/>
      <c r="CR159" s="381"/>
      <c r="CS159" s="381"/>
      <c r="CT159" s="381"/>
      <c r="CU159" s="381"/>
      <c r="CV159" s="381"/>
      <c r="CW159" s="381"/>
      <c r="CX159" s="381"/>
      <c r="CY159" s="381"/>
      <c r="CZ159" s="381"/>
      <c r="DA159" s="381"/>
      <c r="DB159" s="381"/>
      <c r="DC159" s="381"/>
      <c r="DD159" s="381"/>
      <c r="DE159" s="381"/>
      <c r="DF159" s="381"/>
      <c r="DG159" s="381"/>
      <c r="DH159" s="381"/>
      <c r="DI159" s="381"/>
      <c r="DJ159" s="381"/>
      <c r="DK159" s="381"/>
      <c r="DL159" s="381"/>
      <c r="DM159" s="381"/>
      <c r="DN159" s="381"/>
      <c r="DO159" s="381"/>
      <c r="DP159" s="381"/>
      <c r="DQ159" s="381"/>
      <c r="DR159" s="381"/>
      <c r="DS159" s="381"/>
      <c r="DT159" s="381"/>
      <c r="DU159" s="381"/>
      <c r="DV159" s="381"/>
      <c r="DW159" s="381"/>
      <c r="DX159" s="381"/>
      <c r="DY159" s="381"/>
      <c r="DZ159" s="381"/>
      <c r="EA159" s="381"/>
      <c r="EB159" s="381"/>
      <c r="EC159" s="381"/>
      <c r="ED159" s="381"/>
      <c r="EE159" s="381"/>
      <c r="EF159" s="381"/>
      <c r="EG159" s="381"/>
      <c r="EH159" s="381"/>
      <c r="EI159" s="381"/>
      <c r="EJ159" s="381"/>
      <c r="EK159" s="381"/>
      <c r="EL159" s="381"/>
      <c r="EM159" s="381"/>
      <c r="EN159" s="381"/>
      <c r="EO159" s="381"/>
      <c r="EP159" s="381"/>
      <c r="EQ159" s="381"/>
      <c r="ER159" s="381"/>
      <c r="ES159" s="381"/>
      <c r="ET159" s="381"/>
      <c r="EU159" s="381"/>
      <c r="EV159" s="381"/>
      <c r="EW159" s="381"/>
      <c r="EX159" s="381"/>
      <c r="EY159" s="381"/>
      <c r="EZ159" s="381"/>
      <c r="FA159" s="381"/>
      <c r="FB159" s="381"/>
      <c r="FC159" s="381"/>
      <c r="FD159" s="381"/>
      <c r="FE159" s="381"/>
      <c r="FF159" s="381"/>
      <c r="FG159" s="381"/>
      <c r="FH159" s="381"/>
      <c r="FI159" s="381"/>
      <c r="FJ159" s="381"/>
      <c r="FK159" s="381"/>
      <c r="FL159" s="381"/>
      <c r="FM159" s="381"/>
      <c r="FN159" s="381"/>
      <c r="FO159" s="381"/>
      <c r="FP159" s="381"/>
      <c r="FQ159" s="381"/>
      <c r="FR159" s="381"/>
      <c r="FS159" s="381"/>
      <c r="FT159" s="381"/>
      <c r="FU159" s="381"/>
      <c r="FV159" s="381"/>
      <c r="FW159" s="381"/>
      <c r="FX159" s="381"/>
      <c r="FY159" s="381"/>
      <c r="FZ159" s="381"/>
      <c r="GA159" s="381"/>
      <c r="GB159" s="381"/>
      <c r="GC159" s="381"/>
      <c r="GD159" s="381"/>
      <c r="GE159" s="381"/>
      <c r="GF159" s="381"/>
      <c r="GG159" s="381"/>
      <c r="GH159" s="381"/>
      <c r="GI159" s="381"/>
      <c r="GJ159" s="381"/>
      <c r="GK159" s="381"/>
      <c r="GL159" s="381"/>
      <c r="GM159" s="381"/>
      <c r="GN159" s="381"/>
      <c r="GO159" s="381"/>
      <c r="GP159" s="381"/>
      <c r="GQ159" s="381"/>
      <c r="GR159" s="381"/>
      <c r="GS159" s="381"/>
      <c r="GT159" s="381"/>
      <c r="GU159" s="381"/>
      <c r="GV159" s="381"/>
      <c r="GW159" s="381"/>
      <c r="GX159" s="381"/>
      <c r="GY159" s="381"/>
      <c r="GZ159" s="381"/>
      <c r="HA159" s="381"/>
      <c r="HB159" s="381"/>
      <c r="HC159" s="381"/>
      <c r="HD159" s="381"/>
      <c r="HE159" s="381"/>
      <c r="HF159" s="381"/>
      <c r="HG159" s="381"/>
      <c r="HH159" s="381"/>
      <c r="HI159" s="381"/>
      <c r="HJ159" s="381"/>
      <c r="HK159" s="381"/>
      <c r="HL159" s="381"/>
      <c r="HM159" s="381"/>
      <c r="HN159" s="381"/>
      <c r="HO159" s="381"/>
      <c r="HP159" s="381"/>
      <c r="HQ159" s="381"/>
      <c r="HR159" s="381"/>
      <c r="HS159" s="381"/>
      <c r="HT159" s="381"/>
      <c r="HU159" s="381"/>
      <c r="HV159" s="381"/>
      <c r="HW159" s="381"/>
      <c r="HX159" s="381"/>
      <c r="HY159" s="381"/>
      <c r="HZ159" s="381"/>
      <c r="IA159" s="381"/>
      <c r="IB159" s="381"/>
      <c r="IC159" s="381"/>
      <c r="ID159" s="381"/>
      <c r="IE159" s="381"/>
      <c r="IF159" s="381"/>
      <c r="IG159" s="381"/>
      <c r="IH159" s="381"/>
      <c r="II159" s="381"/>
      <c r="IJ159" s="381"/>
      <c r="IK159" s="381"/>
      <c r="IL159" s="381"/>
      <c r="IM159" s="381"/>
      <c r="IN159" s="381"/>
      <c r="IO159" s="381"/>
    </row>
    <row r="160" spans="1:249" s="382" customFormat="1" ht="17.399999999999999" customHeight="1" thickBot="1">
      <c r="A160" s="557" t="s">
        <v>224</v>
      </c>
      <c r="B160" s="557"/>
      <c r="C160" s="548"/>
      <c r="D160" s="550"/>
      <c r="E160" s="552"/>
      <c r="F160" s="554"/>
      <c r="G160" s="556"/>
      <c r="H160" s="380"/>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c r="BA160" s="381"/>
      <c r="BB160" s="381"/>
      <c r="BC160" s="381"/>
      <c r="BD160" s="381"/>
      <c r="BE160" s="381"/>
      <c r="BF160" s="381"/>
      <c r="BG160" s="381"/>
      <c r="BH160" s="381"/>
      <c r="BI160" s="381"/>
      <c r="BJ160" s="381"/>
      <c r="BK160" s="381"/>
      <c r="BL160" s="381"/>
      <c r="BM160" s="381"/>
      <c r="BN160" s="381"/>
      <c r="BO160" s="381"/>
      <c r="BP160" s="381"/>
      <c r="BQ160" s="381"/>
      <c r="BR160" s="381"/>
      <c r="BS160" s="381"/>
      <c r="BT160" s="381"/>
      <c r="BU160" s="381"/>
      <c r="BV160" s="381"/>
      <c r="BW160" s="381"/>
      <c r="BX160" s="381"/>
      <c r="BY160" s="381"/>
      <c r="BZ160" s="381"/>
      <c r="CA160" s="381"/>
      <c r="CB160" s="381"/>
      <c r="CC160" s="381"/>
      <c r="CD160" s="381"/>
      <c r="CE160" s="381"/>
      <c r="CF160" s="381"/>
      <c r="CG160" s="381"/>
      <c r="CH160" s="381"/>
      <c r="CI160" s="381"/>
      <c r="CJ160" s="381"/>
      <c r="CK160" s="381"/>
      <c r="CL160" s="381"/>
      <c r="CM160" s="381"/>
      <c r="CN160" s="381"/>
      <c r="CO160" s="381"/>
      <c r="CP160" s="381"/>
      <c r="CQ160" s="381"/>
      <c r="CR160" s="381"/>
      <c r="CS160" s="381"/>
      <c r="CT160" s="381"/>
      <c r="CU160" s="381"/>
      <c r="CV160" s="381"/>
      <c r="CW160" s="381"/>
      <c r="CX160" s="381"/>
      <c r="CY160" s="381"/>
      <c r="CZ160" s="381"/>
      <c r="DA160" s="381"/>
      <c r="DB160" s="381"/>
      <c r="DC160" s="381"/>
      <c r="DD160" s="381"/>
      <c r="DE160" s="381"/>
      <c r="DF160" s="381"/>
      <c r="DG160" s="381"/>
      <c r="DH160" s="381"/>
      <c r="DI160" s="381"/>
      <c r="DJ160" s="381"/>
      <c r="DK160" s="381"/>
      <c r="DL160" s="381"/>
      <c r="DM160" s="381"/>
      <c r="DN160" s="381"/>
      <c r="DO160" s="381"/>
      <c r="DP160" s="381"/>
      <c r="DQ160" s="381"/>
      <c r="DR160" s="381"/>
      <c r="DS160" s="381"/>
      <c r="DT160" s="381"/>
      <c r="DU160" s="381"/>
      <c r="DV160" s="381"/>
      <c r="DW160" s="381"/>
      <c r="DX160" s="381"/>
      <c r="DY160" s="381"/>
      <c r="DZ160" s="381"/>
      <c r="EA160" s="381"/>
      <c r="EB160" s="381"/>
      <c r="EC160" s="381"/>
      <c r="ED160" s="381"/>
      <c r="EE160" s="381"/>
      <c r="EF160" s="381"/>
      <c r="EG160" s="381"/>
      <c r="EH160" s="381"/>
      <c r="EI160" s="381"/>
      <c r="EJ160" s="381"/>
      <c r="EK160" s="381"/>
      <c r="EL160" s="381"/>
      <c r="EM160" s="381"/>
      <c r="EN160" s="381"/>
      <c r="EO160" s="381"/>
      <c r="EP160" s="381"/>
      <c r="EQ160" s="381"/>
      <c r="ER160" s="381"/>
      <c r="ES160" s="381"/>
      <c r="ET160" s="381"/>
      <c r="EU160" s="381"/>
      <c r="EV160" s="381"/>
      <c r="EW160" s="381"/>
      <c r="EX160" s="381"/>
      <c r="EY160" s="381"/>
      <c r="EZ160" s="381"/>
      <c r="FA160" s="381"/>
      <c r="FB160" s="381"/>
      <c r="FC160" s="381"/>
      <c r="FD160" s="381"/>
      <c r="FE160" s="381"/>
      <c r="FF160" s="381"/>
      <c r="FG160" s="381"/>
      <c r="FH160" s="381"/>
      <c r="FI160" s="381"/>
      <c r="FJ160" s="381"/>
      <c r="FK160" s="381"/>
      <c r="FL160" s="381"/>
      <c r="FM160" s="381"/>
      <c r="FN160" s="381"/>
      <c r="FO160" s="381"/>
      <c r="FP160" s="381"/>
      <c r="FQ160" s="381"/>
      <c r="FR160" s="381"/>
      <c r="FS160" s="381"/>
      <c r="FT160" s="381"/>
      <c r="FU160" s="381"/>
      <c r="FV160" s="381"/>
      <c r="FW160" s="381"/>
      <c r="FX160" s="381"/>
      <c r="FY160" s="381"/>
      <c r="FZ160" s="381"/>
      <c r="GA160" s="381"/>
      <c r="GB160" s="381"/>
      <c r="GC160" s="381"/>
      <c r="GD160" s="381"/>
      <c r="GE160" s="381"/>
      <c r="GF160" s="381"/>
      <c r="GG160" s="381"/>
      <c r="GH160" s="381"/>
      <c r="GI160" s="381"/>
      <c r="GJ160" s="381"/>
      <c r="GK160" s="381"/>
      <c r="GL160" s="381"/>
      <c r="GM160" s="381"/>
      <c r="GN160" s="381"/>
      <c r="GO160" s="381"/>
      <c r="GP160" s="381"/>
      <c r="GQ160" s="381"/>
      <c r="GR160" s="381"/>
      <c r="GS160" s="381"/>
      <c r="GT160" s="381"/>
      <c r="GU160" s="381"/>
      <c r="GV160" s="381"/>
      <c r="GW160" s="381"/>
      <c r="GX160" s="381"/>
      <c r="GY160" s="381"/>
      <c r="GZ160" s="381"/>
      <c r="HA160" s="381"/>
      <c r="HB160" s="381"/>
      <c r="HC160" s="381"/>
      <c r="HD160" s="381"/>
      <c r="HE160" s="381"/>
      <c r="HF160" s="381"/>
      <c r="HG160" s="381"/>
      <c r="HH160" s="381"/>
      <c r="HI160" s="381"/>
      <c r="HJ160" s="381"/>
      <c r="HK160" s="381"/>
      <c r="HL160" s="381"/>
      <c r="HM160" s="381"/>
      <c r="HN160" s="381"/>
      <c r="HO160" s="381"/>
      <c r="HP160" s="381"/>
      <c r="HQ160" s="381"/>
      <c r="HR160" s="381"/>
      <c r="HS160" s="381"/>
      <c r="HT160" s="381"/>
      <c r="HU160" s="381"/>
      <c r="HV160" s="381"/>
      <c r="HW160" s="381"/>
      <c r="HX160" s="381"/>
      <c r="HY160" s="381"/>
      <c r="HZ160" s="381"/>
      <c r="IA160" s="381"/>
      <c r="IB160" s="381"/>
      <c r="IC160" s="381"/>
      <c r="ID160" s="381"/>
      <c r="IE160" s="381"/>
      <c r="IF160" s="381"/>
      <c r="IG160" s="381"/>
      <c r="IH160" s="381"/>
      <c r="II160" s="381"/>
      <c r="IJ160" s="381"/>
      <c r="IK160" s="381"/>
      <c r="IL160" s="381"/>
      <c r="IM160" s="381"/>
      <c r="IN160" s="381"/>
      <c r="IO160" s="381"/>
    </row>
    <row r="161" spans="1:8" s="260" customFormat="1" ht="68.25" customHeight="1">
      <c r="A161" s="311" t="s">
        <v>241</v>
      </c>
      <c r="B161" s="312" t="s">
        <v>478</v>
      </c>
      <c r="C161" s="309" t="s">
        <v>227</v>
      </c>
      <c r="D161" s="329">
        <v>22</v>
      </c>
      <c r="E161" s="285"/>
      <c r="F161" s="253">
        <f t="shared" ref="F161:F193" si="6">E161*D161</f>
        <v>0</v>
      </c>
      <c r="G161" s="294"/>
      <c r="H161" s="305"/>
    </row>
    <row r="162" spans="1:8" s="260" customFormat="1" ht="64.5" customHeight="1">
      <c r="A162" s="311" t="s">
        <v>242</v>
      </c>
      <c r="B162" s="312" t="s">
        <v>479</v>
      </c>
      <c r="C162" s="309" t="s">
        <v>266</v>
      </c>
      <c r="D162" s="257">
        <v>3100</v>
      </c>
      <c r="E162" s="285"/>
      <c r="F162" s="253">
        <f t="shared" si="6"/>
        <v>0</v>
      </c>
      <c r="G162" s="294"/>
      <c r="H162" s="305"/>
    </row>
    <row r="163" spans="1:8" s="260" customFormat="1">
      <c r="A163" s="311" t="s">
        <v>249</v>
      </c>
      <c r="B163" s="312" t="s">
        <v>274</v>
      </c>
      <c r="C163" s="309"/>
      <c r="D163" s="329"/>
      <c r="E163" s="245"/>
      <c r="F163" s="253">
        <f t="shared" si="6"/>
        <v>0</v>
      </c>
      <c r="G163" s="294"/>
      <c r="H163" s="305"/>
    </row>
    <row r="164" spans="1:8" s="260" customFormat="1" ht="97.5" customHeight="1">
      <c r="A164" s="314" t="s">
        <v>364</v>
      </c>
      <c r="B164" s="315" t="s">
        <v>480</v>
      </c>
      <c r="C164" s="309" t="s">
        <v>229</v>
      </c>
      <c r="D164" s="257">
        <f>18*D166</f>
        <v>2700</v>
      </c>
      <c r="E164" s="278"/>
      <c r="F164" s="253">
        <f t="shared" si="6"/>
        <v>0</v>
      </c>
      <c r="G164" s="294"/>
      <c r="H164" s="305"/>
    </row>
    <row r="165" spans="1:8" s="260" customFormat="1" ht="93" customHeight="1">
      <c r="A165" s="314" t="s">
        <v>365</v>
      </c>
      <c r="B165" s="315" t="s">
        <v>481</v>
      </c>
      <c r="C165" s="309" t="s">
        <v>229</v>
      </c>
      <c r="D165" s="257">
        <f>16*D167</f>
        <v>10592</v>
      </c>
      <c r="E165" s="278"/>
      <c r="F165" s="253">
        <f t="shared" si="6"/>
        <v>0</v>
      </c>
      <c r="G165" s="294"/>
      <c r="H165" s="305"/>
    </row>
    <row r="166" spans="1:8" s="260" customFormat="1" ht="97.5" customHeight="1">
      <c r="A166" s="314" t="s">
        <v>366</v>
      </c>
      <c r="B166" s="315" t="s">
        <v>482</v>
      </c>
      <c r="C166" s="309" t="s">
        <v>229</v>
      </c>
      <c r="D166" s="257">
        <v>150</v>
      </c>
      <c r="E166" s="278"/>
      <c r="F166" s="253">
        <f t="shared" si="6"/>
        <v>0</v>
      </c>
      <c r="G166" s="294"/>
      <c r="H166" s="305"/>
    </row>
    <row r="167" spans="1:8" s="260" customFormat="1" ht="88.5" customHeight="1">
      <c r="A167" s="314" t="s">
        <v>367</v>
      </c>
      <c r="B167" s="315" t="s">
        <v>483</v>
      </c>
      <c r="C167" s="309" t="s">
        <v>229</v>
      </c>
      <c r="D167" s="257">
        <v>662</v>
      </c>
      <c r="E167" s="278"/>
      <c r="F167" s="253">
        <f t="shared" si="6"/>
        <v>0</v>
      </c>
      <c r="G167" s="294"/>
      <c r="H167" s="305"/>
    </row>
    <row r="168" spans="1:8" s="260" customFormat="1" ht="103.75" customHeight="1">
      <c r="A168" s="314" t="s">
        <v>368</v>
      </c>
      <c r="B168" s="315" t="s">
        <v>575</v>
      </c>
      <c r="C168" s="309" t="s">
        <v>229</v>
      </c>
      <c r="D168" s="257">
        <f t="shared" ref="D168" si="7">8700+31776</f>
        <v>40476</v>
      </c>
      <c r="E168" s="278"/>
      <c r="F168" s="253">
        <f t="shared" si="6"/>
        <v>0</v>
      </c>
      <c r="G168" s="294"/>
      <c r="H168" s="305"/>
    </row>
    <row r="169" spans="1:8" s="260" customFormat="1" ht="39.75" customHeight="1">
      <c r="A169" s="311" t="s">
        <v>250</v>
      </c>
      <c r="B169" s="316" t="s">
        <v>263</v>
      </c>
      <c r="C169" s="383"/>
      <c r="D169" s="257"/>
      <c r="E169" s="245"/>
      <c r="F169" s="253">
        <f t="shared" si="6"/>
        <v>0</v>
      </c>
      <c r="G169" s="294"/>
      <c r="H169" s="305"/>
    </row>
    <row r="170" spans="1:8" s="260" customFormat="1" ht="108" customHeight="1">
      <c r="A170" s="314" t="s">
        <v>369</v>
      </c>
      <c r="B170" s="315" t="s">
        <v>484</v>
      </c>
      <c r="C170" s="309" t="s">
        <v>229</v>
      </c>
      <c r="D170" s="288">
        <v>2</v>
      </c>
      <c r="E170" s="289"/>
      <c r="F170" s="253">
        <f t="shared" si="6"/>
        <v>0</v>
      </c>
      <c r="G170" s="294"/>
      <c r="H170" s="305"/>
    </row>
    <row r="171" spans="1:8" s="260" customFormat="1" ht="87" customHeight="1">
      <c r="A171" s="314" t="s">
        <v>370</v>
      </c>
      <c r="B171" s="315" t="s">
        <v>485</v>
      </c>
      <c r="C171" s="309" t="s">
        <v>229</v>
      </c>
      <c r="D171" s="289">
        <f>48+3</f>
        <v>51</v>
      </c>
      <c r="E171" s="285"/>
      <c r="F171" s="253">
        <f t="shared" si="6"/>
        <v>0</v>
      </c>
      <c r="G171" s="294"/>
      <c r="H171" s="305"/>
    </row>
    <row r="172" spans="1:8" s="260" customFormat="1">
      <c r="A172" s="311" t="s">
        <v>251</v>
      </c>
      <c r="B172" s="312" t="s">
        <v>279</v>
      </c>
      <c r="C172" s="383"/>
      <c r="D172" s="329"/>
      <c r="E172" s="245"/>
      <c r="F172" s="253">
        <f t="shared" si="6"/>
        <v>0</v>
      </c>
      <c r="G172" s="294"/>
      <c r="H172" s="305"/>
    </row>
    <row r="173" spans="1:8" s="260" customFormat="1" ht="74.25" customHeight="1">
      <c r="A173" s="314" t="s">
        <v>371</v>
      </c>
      <c r="B173" s="315" t="s">
        <v>405</v>
      </c>
      <c r="C173" s="309" t="s">
        <v>229</v>
      </c>
      <c r="D173" s="286">
        <v>2</v>
      </c>
      <c r="E173" s="285"/>
      <c r="F173" s="253">
        <f t="shared" si="6"/>
        <v>0</v>
      </c>
      <c r="G173" s="294"/>
      <c r="H173" s="305"/>
    </row>
    <row r="174" spans="1:8" s="260" customFormat="1">
      <c r="A174" s="314" t="s">
        <v>372</v>
      </c>
      <c r="B174" s="315" t="s">
        <v>289</v>
      </c>
      <c r="C174" s="309" t="s">
        <v>229</v>
      </c>
      <c r="D174" s="289">
        <f>48+3</f>
        <v>51</v>
      </c>
      <c r="E174" s="285"/>
      <c r="F174" s="253">
        <f t="shared" si="6"/>
        <v>0</v>
      </c>
      <c r="G174" s="294"/>
      <c r="H174" s="305"/>
    </row>
    <row r="175" spans="1:8" s="260" customFormat="1" ht="114" customHeight="1">
      <c r="A175" s="311" t="s">
        <v>277</v>
      </c>
      <c r="B175" s="312" t="s">
        <v>486</v>
      </c>
      <c r="C175" s="309" t="s">
        <v>228</v>
      </c>
      <c r="D175" s="297">
        <v>99</v>
      </c>
      <c r="E175" s="296"/>
      <c r="F175" s="253">
        <f t="shared" si="6"/>
        <v>0</v>
      </c>
      <c r="G175" s="294"/>
      <c r="H175" s="305"/>
    </row>
    <row r="176" spans="1:8" s="260" customFormat="1" ht="27.75" customHeight="1">
      <c r="A176" s="311" t="s">
        <v>580</v>
      </c>
      <c r="B176" s="312" t="s">
        <v>295</v>
      </c>
      <c r="C176" s="309" t="s">
        <v>228</v>
      </c>
      <c r="D176" s="297">
        <f t="shared" ref="D176" si="8">3276/78*15</f>
        <v>630</v>
      </c>
      <c r="E176" s="296"/>
      <c r="F176" s="253">
        <f t="shared" si="6"/>
        <v>0</v>
      </c>
      <c r="G176" s="294"/>
      <c r="H176" s="305"/>
    </row>
    <row r="177" spans="1:8" s="260" customFormat="1" ht="30.75" customHeight="1">
      <c r="A177" s="311" t="s">
        <v>276</v>
      </c>
      <c r="B177" s="312" t="s">
        <v>487</v>
      </c>
      <c r="C177" s="309" t="s">
        <v>230</v>
      </c>
      <c r="D177" s="298">
        <f t="shared" ref="D177" si="9">22.7/115.6*15</f>
        <v>2.9455017301038064</v>
      </c>
      <c r="E177" s="296"/>
      <c r="F177" s="253">
        <f t="shared" si="6"/>
        <v>0</v>
      </c>
      <c r="G177" s="294"/>
      <c r="H177" s="305"/>
    </row>
    <row r="178" spans="1:8" s="260" customFormat="1" ht="62.25" customHeight="1">
      <c r="A178" s="311" t="s">
        <v>267</v>
      </c>
      <c r="B178" s="317" t="s">
        <v>488</v>
      </c>
      <c r="C178" s="310" t="s">
        <v>230</v>
      </c>
      <c r="D178" s="276">
        <f t="shared" ref="D178" si="10">56.1/115.6*15</f>
        <v>7.2794117647058831</v>
      </c>
      <c r="E178" s="285"/>
      <c r="F178" s="253">
        <f t="shared" si="6"/>
        <v>0</v>
      </c>
      <c r="G178" s="294"/>
      <c r="H178" s="305"/>
    </row>
    <row r="179" spans="1:8" s="260" customFormat="1" ht="33.75" customHeight="1">
      <c r="A179" s="311" t="s">
        <v>252</v>
      </c>
      <c r="B179" s="312" t="s">
        <v>489</v>
      </c>
      <c r="C179" s="309" t="s">
        <v>230</v>
      </c>
      <c r="D179" s="287">
        <f t="shared" ref="D179" si="11">22.7/115.6*15</f>
        <v>2.9455017301038064</v>
      </c>
      <c r="E179" s="285"/>
      <c r="F179" s="253">
        <f t="shared" si="6"/>
        <v>0</v>
      </c>
      <c r="G179" s="294"/>
      <c r="H179" s="305"/>
    </row>
    <row r="180" spans="1:8" s="385" customFormat="1" ht="59.25" customHeight="1">
      <c r="A180" s="311" t="s">
        <v>253</v>
      </c>
      <c r="B180" s="317" t="s">
        <v>490</v>
      </c>
      <c r="C180" s="309" t="s">
        <v>230</v>
      </c>
      <c r="D180" s="275">
        <f t="shared" ref="D180" si="12">75/16*2</f>
        <v>9.375</v>
      </c>
      <c r="E180" s="285"/>
      <c r="F180" s="253">
        <f t="shared" si="6"/>
        <v>0</v>
      </c>
      <c r="G180" s="294"/>
      <c r="H180" s="384"/>
    </row>
    <row r="181" spans="1:8" s="385" customFormat="1" ht="50.25" customHeight="1">
      <c r="A181" s="311" t="s">
        <v>373</v>
      </c>
      <c r="B181" s="312" t="s">
        <v>325</v>
      </c>
      <c r="C181" s="309" t="s">
        <v>230</v>
      </c>
      <c r="D181" s="276">
        <f t="shared" ref="D181" si="13">12/115.6*15</f>
        <v>1.5570934256055364</v>
      </c>
      <c r="E181" s="285"/>
      <c r="F181" s="253">
        <f t="shared" si="6"/>
        <v>0</v>
      </c>
      <c r="G181" s="294"/>
      <c r="H181" s="384"/>
    </row>
    <row r="182" spans="1:8" s="385" customFormat="1" ht="58.5" customHeight="1">
      <c r="A182" s="311" t="s">
        <v>254</v>
      </c>
      <c r="B182" s="312" t="s">
        <v>491</v>
      </c>
      <c r="C182" s="309" t="s">
        <v>230</v>
      </c>
      <c r="D182" s="276">
        <f t="shared" ref="D182" si="14">15/16*2</f>
        <v>1.875</v>
      </c>
      <c r="E182" s="285"/>
      <c r="F182" s="253">
        <f t="shared" si="6"/>
        <v>0</v>
      </c>
      <c r="G182" s="294"/>
      <c r="H182" s="384"/>
    </row>
    <row r="183" spans="1:8" s="260" customFormat="1">
      <c r="A183" s="311" t="s">
        <v>248</v>
      </c>
      <c r="B183" s="312" t="s">
        <v>231</v>
      </c>
      <c r="C183" s="309"/>
      <c r="D183" s="329"/>
      <c r="E183" s="245"/>
      <c r="F183" s="253">
        <f t="shared" si="6"/>
        <v>0</v>
      </c>
      <c r="G183" s="294"/>
      <c r="H183" s="305"/>
    </row>
    <row r="184" spans="1:8" s="260" customFormat="1" ht="82.5" customHeight="1">
      <c r="A184" s="314" t="s">
        <v>264</v>
      </c>
      <c r="B184" s="315" t="s">
        <v>492</v>
      </c>
      <c r="C184" s="309" t="s">
        <v>230</v>
      </c>
      <c r="D184" s="270">
        <v>86</v>
      </c>
      <c r="E184" s="290"/>
      <c r="F184" s="253">
        <f t="shared" si="6"/>
        <v>0</v>
      </c>
      <c r="G184" s="294"/>
      <c r="H184" s="305"/>
    </row>
    <row r="185" spans="1:8" s="260" customFormat="1" ht="83.25" customHeight="1">
      <c r="A185" s="314" t="s">
        <v>265</v>
      </c>
      <c r="B185" s="315" t="s">
        <v>493</v>
      </c>
      <c r="C185" s="309" t="s">
        <v>230</v>
      </c>
      <c r="D185" s="270">
        <v>41</v>
      </c>
      <c r="E185" s="290"/>
      <c r="F185" s="253">
        <f t="shared" si="6"/>
        <v>0</v>
      </c>
      <c r="G185" s="294"/>
      <c r="H185" s="305"/>
    </row>
    <row r="186" spans="1:8" s="260" customFormat="1" ht="83.25" customHeight="1">
      <c r="A186" s="314" t="s">
        <v>338</v>
      </c>
      <c r="B186" s="315" t="s">
        <v>494</v>
      </c>
      <c r="C186" s="309" t="s">
        <v>230</v>
      </c>
      <c r="D186" s="329">
        <v>7.8</v>
      </c>
      <c r="E186" s="290"/>
      <c r="F186" s="253">
        <f t="shared" si="6"/>
        <v>0</v>
      </c>
      <c r="G186" s="294"/>
      <c r="H186" s="305"/>
    </row>
    <row r="187" spans="1:8" s="260" customFormat="1" ht="82.5" customHeight="1">
      <c r="A187" s="314" t="s">
        <v>339</v>
      </c>
      <c r="B187" s="315" t="s">
        <v>495</v>
      </c>
      <c r="C187" s="309" t="s">
        <v>230</v>
      </c>
      <c r="D187" s="329">
        <v>1.6</v>
      </c>
      <c r="E187" s="290"/>
      <c r="F187" s="253">
        <f t="shared" si="6"/>
        <v>0</v>
      </c>
      <c r="G187" s="294"/>
      <c r="H187" s="305"/>
    </row>
    <row r="188" spans="1:8" s="260" customFormat="1" ht="30.75" customHeight="1">
      <c r="A188" s="314" t="s">
        <v>340</v>
      </c>
      <c r="B188" s="315" t="s">
        <v>496</v>
      </c>
      <c r="C188" s="309" t="s">
        <v>230</v>
      </c>
      <c r="D188" s="329">
        <v>15.6</v>
      </c>
      <c r="E188" s="290"/>
      <c r="F188" s="253">
        <f t="shared" si="6"/>
        <v>0</v>
      </c>
      <c r="G188" s="294"/>
      <c r="H188" s="305"/>
    </row>
    <row r="189" spans="1:8" s="260" customFormat="1" ht="33.75" customHeight="1">
      <c r="A189" s="314" t="s">
        <v>342</v>
      </c>
      <c r="B189" s="315" t="s">
        <v>497</v>
      </c>
      <c r="C189" s="309" t="s">
        <v>230</v>
      </c>
      <c r="D189" s="269">
        <f t="shared" ref="D189" si="15">5/115.6*15</f>
        <v>0.6487889273356402</v>
      </c>
      <c r="E189" s="290"/>
      <c r="F189" s="253">
        <f t="shared" si="6"/>
        <v>0</v>
      </c>
      <c r="G189" s="294"/>
      <c r="H189" s="305"/>
    </row>
    <row r="190" spans="1:8" s="260" customFormat="1" ht="45.75" customHeight="1">
      <c r="A190" s="311" t="s">
        <v>269</v>
      </c>
      <c r="B190" s="318" t="s">
        <v>406</v>
      </c>
      <c r="C190" s="309" t="s">
        <v>229</v>
      </c>
      <c r="D190" s="291">
        <v>2</v>
      </c>
      <c r="E190" s="292"/>
      <c r="F190" s="253">
        <f t="shared" si="6"/>
        <v>0</v>
      </c>
      <c r="G190" s="294"/>
      <c r="H190" s="305"/>
    </row>
    <row r="191" spans="1:8" s="260" customFormat="1" ht="52">
      <c r="A191" s="311" t="s">
        <v>341</v>
      </c>
      <c r="B191" s="318" t="s">
        <v>581</v>
      </c>
      <c r="C191" s="309" t="s">
        <v>229</v>
      </c>
      <c r="D191" s="289">
        <f>48+3</f>
        <v>51</v>
      </c>
      <c r="E191" s="292"/>
      <c r="F191" s="253">
        <f t="shared" si="6"/>
        <v>0</v>
      </c>
      <c r="G191" s="294"/>
      <c r="H191" s="305"/>
    </row>
    <row r="192" spans="1:8" s="260" customFormat="1" ht="43.5" customHeight="1">
      <c r="A192" s="311" t="s">
        <v>245</v>
      </c>
      <c r="B192" s="312" t="s">
        <v>498</v>
      </c>
      <c r="C192" s="309" t="s">
        <v>280</v>
      </c>
      <c r="D192" s="329">
        <f>10100/5</f>
        <v>2020</v>
      </c>
      <c r="E192" s="290"/>
      <c r="F192" s="253">
        <f t="shared" si="6"/>
        <v>0</v>
      </c>
      <c r="G192" s="294"/>
      <c r="H192" s="305"/>
    </row>
    <row r="193" spans="1:249" s="260" customFormat="1" ht="99" customHeight="1" thickBot="1">
      <c r="A193" s="311" t="s">
        <v>232</v>
      </c>
      <c r="B193" s="312" t="s">
        <v>391</v>
      </c>
      <c r="C193" s="309" t="s">
        <v>259</v>
      </c>
      <c r="D193" s="297">
        <v>0.13</v>
      </c>
      <c r="E193" s="302"/>
      <c r="F193" s="253">
        <f t="shared" si="6"/>
        <v>0</v>
      </c>
      <c r="G193" s="294"/>
      <c r="H193" s="305"/>
    </row>
    <row r="194" spans="1:249" s="260" customFormat="1">
      <c r="A194" s="524" t="s">
        <v>615</v>
      </c>
      <c r="B194" s="525"/>
      <c r="C194" s="525"/>
      <c r="D194" s="525"/>
      <c r="E194" s="330"/>
      <c r="F194" s="479">
        <f>SUM(F161:F193)</f>
        <v>0</v>
      </c>
      <c r="G194" s="303"/>
      <c r="H194" s="261"/>
    </row>
    <row r="195" spans="1:249" s="260" customFormat="1">
      <c r="A195" s="526" t="s">
        <v>247</v>
      </c>
      <c r="B195" s="527"/>
      <c r="C195" s="527"/>
      <c r="D195" s="527"/>
      <c r="E195" s="331"/>
      <c r="F195" s="254">
        <f>F194*0.2</f>
        <v>0</v>
      </c>
      <c r="G195" s="304"/>
      <c r="H195" s="261"/>
    </row>
    <row r="196" spans="1:249" s="260" customFormat="1" ht="16" thickBot="1">
      <c r="A196" s="528" t="s">
        <v>616</v>
      </c>
      <c r="B196" s="529"/>
      <c r="C196" s="529"/>
      <c r="D196" s="529"/>
      <c r="E196" s="332"/>
      <c r="F196" s="255">
        <f>F194+F195</f>
        <v>0</v>
      </c>
      <c r="G196" s="304"/>
      <c r="H196" s="261"/>
    </row>
    <row r="197" spans="1:249" s="260" customFormat="1" ht="50.25" customHeight="1" thickBot="1">
      <c r="A197" s="530" t="s">
        <v>219</v>
      </c>
      <c r="B197" s="532" t="s">
        <v>220</v>
      </c>
      <c r="C197" s="534" t="s">
        <v>240</v>
      </c>
      <c r="D197" s="535"/>
      <c r="E197" s="536" t="s">
        <v>221</v>
      </c>
      <c r="F197" s="537"/>
      <c r="G197" s="389"/>
      <c r="H197" s="261"/>
    </row>
    <row r="198" spans="1:249" s="260" customFormat="1" ht="27.65" customHeight="1">
      <c r="A198" s="531"/>
      <c r="B198" s="533"/>
      <c r="C198" s="538" t="s">
        <v>222</v>
      </c>
      <c r="D198" s="539" t="s">
        <v>223</v>
      </c>
      <c r="E198" s="540" t="s">
        <v>610</v>
      </c>
      <c r="F198" s="541" t="s">
        <v>611</v>
      </c>
      <c r="G198" s="555"/>
      <c r="H198" s="261"/>
    </row>
    <row r="199" spans="1:249" s="260" customFormat="1" ht="16" thickBot="1">
      <c r="A199" s="522" t="s">
        <v>301</v>
      </c>
      <c r="B199" s="523"/>
      <c r="C199" s="538"/>
      <c r="D199" s="539"/>
      <c r="E199" s="540"/>
      <c r="F199" s="541"/>
      <c r="G199" s="556"/>
      <c r="H199" s="261"/>
    </row>
    <row r="200" spans="1:249" s="260" customFormat="1">
      <c r="A200" s="299" t="s">
        <v>241</v>
      </c>
      <c r="B200" s="242" t="s">
        <v>306</v>
      </c>
      <c r="C200" s="328" t="s">
        <v>226</v>
      </c>
      <c r="D200" s="297">
        <v>0.13</v>
      </c>
      <c r="E200" s="300"/>
      <c r="F200" s="253">
        <f t="shared" ref="F200:F201" si="16">E200*D200</f>
        <v>0</v>
      </c>
      <c r="G200" s="411"/>
      <c r="H200" s="261"/>
    </row>
    <row r="201" spans="1:249" s="260" customFormat="1" ht="26.5" thickBot="1">
      <c r="A201" s="250" t="s">
        <v>242</v>
      </c>
      <c r="B201" s="248" t="s">
        <v>311</v>
      </c>
      <c r="C201" s="328" t="s">
        <v>226</v>
      </c>
      <c r="D201" s="297">
        <v>0.13</v>
      </c>
      <c r="E201" s="300"/>
      <c r="F201" s="253">
        <f t="shared" si="16"/>
        <v>0</v>
      </c>
      <c r="G201" s="293"/>
      <c r="H201" s="261"/>
    </row>
    <row r="202" spans="1:249" s="260" customFormat="1">
      <c r="A202" s="524" t="s">
        <v>613</v>
      </c>
      <c r="B202" s="525"/>
      <c r="C202" s="525"/>
      <c r="D202" s="525"/>
      <c r="E202" s="333"/>
      <c r="F202" s="262">
        <f>SUM(F200:F201)</f>
        <v>0</v>
      </c>
      <c r="G202" s="249"/>
      <c r="H202" s="261"/>
    </row>
    <row r="203" spans="1:249" s="260" customFormat="1">
      <c r="A203" s="526" t="s">
        <v>247</v>
      </c>
      <c r="B203" s="527"/>
      <c r="C203" s="527"/>
      <c r="D203" s="527"/>
      <c r="E203" s="331"/>
      <c r="F203" s="256">
        <f>F202*0.2</f>
        <v>0</v>
      </c>
      <c r="G203" s="249"/>
      <c r="H203" s="261"/>
    </row>
    <row r="204" spans="1:249" s="260" customFormat="1" ht="16" thickBot="1">
      <c r="A204" s="528" t="s">
        <v>614</v>
      </c>
      <c r="B204" s="529"/>
      <c r="C204" s="529"/>
      <c r="D204" s="529"/>
      <c r="E204" s="332"/>
      <c r="F204" s="263">
        <f>F202+F203</f>
        <v>0</v>
      </c>
      <c r="G204" s="249"/>
      <c r="H204" s="261"/>
    </row>
    <row r="207" spans="1:249" ht="16" thickBot="1">
      <c r="A207" s="559" t="s">
        <v>283</v>
      </c>
      <c r="B207" s="560"/>
      <c r="C207" s="560"/>
      <c r="D207" s="560"/>
      <c r="E207" s="560"/>
      <c r="F207" s="560"/>
      <c r="G207" s="560"/>
      <c r="H207" s="261"/>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60"/>
      <c r="BR207" s="260"/>
      <c r="BS207" s="260"/>
      <c r="BT207" s="260"/>
      <c r="BU207" s="260"/>
      <c r="BV207" s="260"/>
      <c r="BW207" s="260"/>
      <c r="BX207" s="260"/>
      <c r="BY207" s="260"/>
      <c r="BZ207" s="260"/>
      <c r="CA207" s="260"/>
      <c r="CB207" s="260"/>
      <c r="CC207" s="260"/>
      <c r="CD207" s="260"/>
      <c r="CE207" s="260"/>
      <c r="CF207" s="260"/>
      <c r="CG207" s="260"/>
      <c r="CH207" s="260"/>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0"/>
      <c r="DF207" s="260"/>
      <c r="DG207" s="260"/>
      <c r="DH207" s="260"/>
      <c r="DI207" s="260"/>
      <c r="DJ207" s="260"/>
      <c r="DK207" s="260"/>
      <c r="DL207" s="260"/>
      <c r="DM207" s="260"/>
      <c r="DN207" s="260"/>
      <c r="DO207" s="260"/>
      <c r="DP207" s="260"/>
      <c r="DQ207" s="260"/>
      <c r="DR207" s="260"/>
      <c r="DS207" s="260"/>
      <c r="DT207" s="260"/>
      <c r="DU207" s="260"/>
      <c r="DV207" s="260"/>
      <c r="DW207" s="260"/>
      <c r="DX207" s="260"/>
      <c r="DY207" s="260"/>
      <c r="DZ207" s="260"/>
      <c r="EA207" s="260"/>
      <c r="EB207" s="260"/>
      <c r="EC207" s="260"/>
      <c r="ED207" s="260"/>
      <c r="EE207" s="260"/>
      <c r="EF207" s="260"/>
      <c r="EG207" s="260"/>
      <c r="EH207" s="260"/>
      <c r="EI207" s="260"/>
      <c r="EJ207" s="260"/>
      <c r="EK207" s="260"/>
      <c r="EL207" s="260"/>
      <c r="EM207" s="260"/>
      <c r="EN207" s="260"/>
      <c r="EO207" s="260"/>
      <c r="EP207" s="260"/>
      <c r="EQ207" s="260"/>
      <c r="ER207" s="260"/>
      <c r="ES207" s="260"/>
      <c r="ET207" s="260"/>
      <c r="EU207" s="260"/>
      <c r="EV207" s="260"/>
      <c r="EW207" s="260"/>
      <c r="EX207" s="260"/>
      <c r="EY207" s="260"/>
      <c r="EZ207" s="260"/>
      <c r="FA207" s="260"/>
      <c r="FB207" s="260"/>
      <c r="FC207" s="260"/>
      <c r="FD207" s="260"/>
      <c r="FE207" s="260"/>
      <c r="FF207" s="260"/>
      <c r="FG207" s="260"/>
      <c r="FH207" s="260"/>
      <c r="FI207" s="260"/>
      <c r="FJ207" s="260"/>
      <c r="FK207" s="260"/>
      <c r="FL207" s="260"/>
      <c r="FM207" s="260"/>
      <c r="FN207" s="260"/>
      <c r="FO207" s="260"/>
      <c r="FP207" s="260"/>
      <c r="FQ207" s="260"/>
      <c r="FR207" s="260"/>
      <c r="FS207" s="260"/>
      <c r="FT207" s="260"/>
      <c r="FU207" s="260"/>
      <c r="FV207" s="260"/>
      <c r="FW207" s="260"/>
      <c r="FX207" s="260"/>
      <c r="FY207" s="260"/>
      <c r="FZ207" s="260"/>
      <c r="GA207" s="260"/>
      <c r="GB207" s="260"/>
      <c r="GC207" s="260"/>
      <c r="GD207" s="260"/>
      <c r="GE207" s="260"/>
      <c r="GF207" s="260"/>
      <c r="GG207" s="260"/>
      <c r="GH207" s="260"/>
      <c r="GI207" s="260"/>
      <c r="GJ207" s="260"/>
      <c r="GK207" s="260"/>
      <c r="GL207" s="260"/>
      <c r="GM207" s="260"/>
      <c r="GN207" s="260"/>
      <c r="GO207" s="260"/>
      <c r="GP207" s="260"/>
      <c r="GQ207" s="260"/>
      <c r="GR207" s="260"/>
      <c r="GS207" s="260"/>
      <c r="GT207" s="260"/>
      <c r="GU207" s="260"/>
      <c r="GV207" s="260"/>
      <c r="GW207" s="260"/>
      <c r="GX207" s="260"/>
      <c r="GY207" s="260"/>
      <c r="GZ207" s="260"/>
      <c r="HA207" s="260"/>
      <c r="HB207" s="260"/>
      <c r="HC207" s="260"/>
      <c r="HD207" s="260"/>
      <c r="HE207" s="260"/>
      <c r="HF207" s="260"/>
      <c r="HG207" s="260"/>
      <c r="HH207" s="260"/>
      <c r="HI207" s="260"/>
      <c r="HJ207" s="260"/>
      <c r="HK207" s="260"/>
      <c r="HL207" s="260"/>
      <c r="HM207" s="260"/>
      <c r="HN207" s="260"/>
      <c r="HO207" s="260"/>
      <c r="HP207" s="260"/>
      <c r="HQ207" s="260"/>
      <c r="HR207" s="260"/>
      <c r="HS207" s="260"/>
      <c r="HT207" s="260"/>
      <c r="HU207" s="260"/>
      <c r="HV207" s="260"/>
      <c r="HW207" s="260"/>
      <c r="HX207" s="260"/>
      <c r="HY207" s="260"/>
      <c r="HZ207" s="260"/>
      <c r="IA207" s="260"/>
      <c r="IB207" s="260"/>
      <c r="IC207" s="260"/>
      <c r="ID207" s="260"/>
      <c r="IE207" s="260"/>
      <c r="IF207" s="260"/>
      <c r="IG207" s="260"/>
      <c r="IH207" s="260"/>
      <c r="II207" s="260"/>
      <c r="IJ207" s="260"/>
      <c r="IK207" s="260"/>
      <c r="IL207" s="260"/>
      <c r="IM207" s="260"/>
      <c r="IN207" s="260"/>
      <c r="IO207" s="260"/>
    </row>
    <row r="208" spans="1:249" s="382" customFormat="1" ht="42" customHeight="1" thickBot="1">
      <c r="A208" s="558" t="s">
        <v>219</v>
      </c>
      <c r="B208" s="558" t="s">
        <v>220</v>
      </c>
      <c r="C208" s="561" t="s">
        <v>246</v>
      </c>
      <c r="D208" s="545"/>
      <c r="E208" s="546" t="s">
        <v>221</v>
      </c>
      <c r="F208" s="546"/>
      <c r="G208" s="391"/>
      <c r="H208" s="380"/>
      <c r="I208" s="381"/>
      <c r="J208" s="381"/>
      <c r="K208" s="381"/>
      <c r="L208" s="381"/>
      <c r="M208" s="381"/>
      <c r="N208" s="381"/>
      <c r="O208" s="381"/>
      <c r="P208" s="381"/>
      <c r="Q208" s="381"/>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1"/>
      <c r="AU208" s="381"/>
      <c r="AV208" s="381"/>
      <c r="AW208" s="381"/>
      <c r="AX208" s="381"/>
      <c r="AY208" s="381"/>
      <c r="AZ208" s="381"/>
      <c r="BA208" s="381"/>
      <c r="BB208" s="381"/>
      <c r="BC208" s="381"/>
      <c r="BD208" s="381"/>
      <c r="BE208" s="381"/>
      <c r="BF208" s="381"/>
      <c r="BG208" s="381"/>
      <c r="BH208" s="381"/>
      <c r="BI208" s="381"/>
      <c r="BJ208" s="381"/>
      <c r="BK208" s="381"/>
      <c r="BL208" s="381"/>
      <c r="BM208" s="381"/>
      <c r="BN208" s="381"/>
      <c r="BO208" s="381"/>
      <c r="BP208" s="381"/>
      <c r="BQ208" s="381"/>
      <c r="BR208" s="381"/>
      <c r="BS208" s="381"/>
      <c r="BT208" s="381"/>
      <c r="BU208" s="381"/>
      <c r="BV208" s="381"/>
      <c r="BW208" s="381"/>
      <c r="BX208" s="381"/>
      <c r="BY208" s="381"/>
      <c r="BZ208" s="381"/>
      <c r="CA208" s="381"/>
      <c r="CB208" s="381"/>
      <c r="CC208" s="381"/>
      <c r="CD208" s="381"/>
      <c r="CE208" s="381"/>
      <c r="CF208" s="381"/>
      <c r="CG208" s="381"/>
      <c r="CH208" s="381"/>
      <c r="CI208" s="381"/>
      <c r="CJ208" s="381"/>
      <c r="CK208" s="381"/>
      <c r="CL208" s="381"/>
      <c r="CM208" s="381"/>
      <c r="CN208" s="381"/>
      <c r="CO208" s="381"/>
      <c r="CP208" s="381"/>
      <c r="CQ208" s="381"/>
      <c r="CR208" s="381"/>
      <c r="CS208" s="381"/>
      <c r="CT208" s="381"/>
      <c r="CU208" s="381"/>
      <c r="CV208" s="381"/>
      <c r="CW208" s="381"/>
      <c r="CX208" s="381"/>
      <c r="CY208" s="381"/>
      <c r="CZ208" s="381"/>
      <c r="DA208" s="381"/>
      <c r="DB208" s="381"/>
      <c r="DC208" s="381"/>
      <c r="DD208" s="381"/>
      <c r="DE208" s="381"/>
      <c r="DF208" s="381"/>
      <c r="DG208" s="381"/>
      <c r="DH208" s="381"/>
      <c r="DI208" s="381"/>
      <c r="DJ208" s="381"/>
      <c r="DK208" s="381"/>
      <c r="DL208" s="381"/>
      <c r="DM208" s="381"/>
      <c r="DN208" s="381"/>
      <c r="DO208" s="381"/>
      <c r="DP208" s="381"/>
      <c r="DQ208" s="381"/>
      <c r="DR208" s="381"/>
      <c r="DS208" s="381"/>
      <c r="DT208" s="381"/>
      <c r="DU208" s="381"/>
      <c r="DV208" s="381"/>
      <c r="DW208" s="381"/>
      <c r="DX208" s="381"/>
      <c r="DY208" s="381"/>
      <c r="DZ208" s="381"/>
      <c r="EA208" s="381"/>
      <c r="EB208" s="381"/>
      <c r="EC208" s="381"/>
      <c r="ED208" s="381"/>
      <c r="EE208" s="381"/>
      <c r="EF208" s="381"/>
      <c r="EG208" s="381"/>
      <c r="EH208" s="381"/>
      <c r="EI208" s="381"/>
      <c r="EJ208" s="381"/>
      <c r="EK208" s="381"/>
      <c r="EL208" s="381"/>
      <c r="EM208" s="381"/>
      <c r="EN208" s="381"/>
      <c r="EO208" s="381"/>
      <c r="EP208" s="381"/>
      <c r="EQ208" s="381"/>
      <c r="ER208" s="381"/>
      <c r="ES208" s="381"/>
      <c r="ET208" s="381"/>
      <c r="EU208" s="381"/>
      <c r="EV208" s="381"/>
      <c r="EW208" s="381"/>
      <c r="EX208" s="381"/>
      <c r="EY208" s="381"/>
      <c r="EZ208" s="381"/>
      <c r="FA208" s="381"/>
      <c r="FB208" s="381"/>
      <c r="FC208" s="381"/>
      <c r="FD208" s="381"/>
      <c r="FE208" s="381"/>
      <c r="FF208" s="381"/>
      <c r="FG208" s="381"/>
      <c r="FH208" s="381"/>
      <c r="FI208" s="381"/>
      <c r="FJ208" s="381"/>
      <c r="FK208" s="381"/>
      <c r="FL208" s="381"/>
      <c r="FM208" s="381"/>
      <c r="FN208" s="381"/>
      <c r="FO208" s="381"/>
      <c r="FP208" s="381"/>
      <c r="FQ208" s="381"/>
      <c r="FR208" s="381"/>
      <c r="FS208" s="381"/>
      <c r="FT208" s="381"/>
      <c r="FU208" s="381"/>
      <c r="FV208" s="381"/>
      <c r="FW208" s="381"/>
      <c r="FX208" s="381"/>
      <c r="FY208" s="381"/>
      <c r="FZ208" s="381"/>
      <c r="GA208" s="381"/>
      <c r="GB208" s="381"/>
      <c r="GC208" s="381"/>
      <c r="GD208" s="381"/>
      <c r="GE208" s="381"/>
      <c r="GF208" s="381"/>
      <c r="GG208" s="381"/>
      <c r="GH208" s="381"/>
      <c r="GI208" s="381"/>
      <c r="GJ208" s="381"/>
      <c r="GK208" s="381"/>
      <c r="GL208" s="381"/>
      <c r="GM208" s="381"/>
      <c r="GN208" s="381"/>
      <c r="GO208" s="381"/>
      <c r="GP208" s="381"/>
      <c r="GQ208" s="381"/>
      <c r="GR208" s="381"/>
      <c r="GS208" s="381"/>
      <c r="GT208" s="381"/>
      <c r="GU208" s="381"/>
      <c r="GV208" s="381"/>
      <c r="GW208" s="381"/>
      <c r="GX208" s="381"/>
      <c r="GY208" s="381"/>
      <c r="GZ208" s="381"/>
      <c r="HA208" s="381"/>
      <c r="HB208" s="381"/>
      <c r="HC208" s="381"/>
      <c r="HD208" s="381"/>
      <c r="HE208" s="381"/>
      <c r="HF208" s="381"/>
      <c r="HG208" s="381"/>
      <c r="HH208" s="381"/>
      <c r="HI208" s="381"/>
      <c r="HJ208" s="381"/>
      <c r="HK208" s="381"/>
      <c r="HL208" s="381"/>
      <c r="HM208" s="381"/>
      <c r="HN208" s="381"/>
      <c r="HO208" s="381"/>
      <c r="HP208" s="381"/>
      <c r="HQ208" s="381"/>
      <c r="HR208" s="381"/>
      <c r="HS208" s="381"/>
      <c r="HT208" s="381"/>
      <c r="HU208" s="381"/>
      <c r="HV208" s="381"/>
      <c r="HW208" s="381"/>
      <c r="HX208" s="381"/>
      <c r="HY208" s="381"/>
      <c r="HZ208" s="381"/>
      <c r="IA208" s="381"/>
      <c r="IB208" s="381"/>
      <c r="IC208" s="381"/>
      <c r="ID208" s="381"/>
      <c r="IE208" s="381"/>
      <c r="IF208" s="381"/>
      <c r="IG208" s="381"/>
      <c r="IH208" s="381"/>
      <c r="II208" s="381"/>
      <c r="IJ208" s="381"/>
      <c r="IK208" s="381"/>
      <c r="IL208" s="381"/>
      <c r="IM208" s="381"/>
      <c r="IN208" s="381"/>
      <c r="IO208" s="381"/>
    </row>
    <row r="209" spans="1:249" s="382" customFormat="1" ht="20" customHeight="1">
      <c r="A209" s="558"/>
      <c r="B209" s="558"/>
      <c r="C209" s="562" t="s">
        <v>222</v>
      </c>
      <c r="D209" s="549" t="s">
        <v>223</v>
      </c>
      <c r="E209" s="551" t="s">
        <v>610</v>
      </c>
      <c r="F209" s="553" t="s">
        <v>611</v>
      </c>
      <c r="G209" s="555"/>
      <c r="H209" s="380"/>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c r="AS209" s="381"/>
      <c r="AT209" s="381"/>
      <c r="AU209" s="381"/>
      <c r="AV209" s="381"/>
      <c r="AW209" s="381"/>
      <c r="AX209" s="381"/>
      <c r="AY209" s="381"/>
      <c r="AZ209" s="381"/>
      <c r="BA209" s="381"/>
      <c r="BB209" s="381"/>
      <c r="BC209" s="381"/>
      <c r="BD209" s="381"/>
      <c r="BE209" s="381"/>
      <c r="BF209" s="381"/>
      <c r="BG209" s="381"/>
      <c r="BH209" s="381"/>
      <c r="BI209" s="381"/>
      <c r="BJ209" s="381"/>
      <c r="BK209" s="381"/>
      <c r="BL209" s="381"/>
      <c r="BM209" s="381"/>
      <c r="BN209" s="381"/>
      <c r="BO209" s="381"/>
      <c r="BP209" s="381"/>
      <c r="BQ209" s="381"/>
      <c r="BR209" s="381"/>
      <c r="BS209" s="381"/>
      <c r="BT209" s="381"/>
      <c r="BU209" s="381"/>
      <c r="BV209" s="381"/>
      <c r="BW209" s="381"/>
      <c r="BX209" s="381"/>
      <c r="BY209" s="381"/>
      <c r="BZ209" s="381"/>
      <c r="CA209" s="381"/>
      <c r="CB209" s="381"/>
      <c r="CC209" s="381"/>
      <c r="CD209" s="381"/>
      <c r="CE209" s="381"/>
      <c r="CF209" s="381"/>
      <c r="CG209" s="381"/>
      <c r="CH209" s="381"/>
      <c r="CI209" s="381"/>
      <c r="CJ209" s="381"/>
      <c r="CK209" s="381"/>
      <c r="CL209" s="381"/>
      <c r="CM209" s="381"/>
      <c r="CN209" s="381"/>
      <c r="CO209" s="381"/>
      <c r="CP209" s="381"/>
      <c r="CQ209" s="381"/>
      <c r="CR209" s="381"/>
      <c r="CS209" s="381"/>
      <c r="CT209" s="381"/>
      <c r="CU209" s="381"/>
      <c r="CV209" s="381"/>
      <c r="CW209" s="381"/>
      <c r="CX209" s="381"/>
      <c r="CY209" s="381"/>
      <c r="CZ209" s="381"/>
      <c r="DA209" s="381"/>
      <c r="DB209" s="381"/>
      <c r="DC209" s="381"/>
      <c r="DD209" s="381"/>
      <c r="DE209" s="381"/>
      <c r="DF209" s="381"/>
      <c r="DG209" s="381"/>
      <c r="DH209" s="381"/>
      <c r="DI209" s="381"/>
      <c r="DJ209" s="381"/>
      <c r="DK209" s="381"/>
      <c r="DL209" s="381"/>
      <c r="DM209" s="381"/>
      <c r="DN209" s="381"/>
      <c r="DO209" s="381"/>
      <c r="DP209" s="381"/>
      <c r="DQ209" s="381"/>
      <c r="DR209" s="381"/>
      <c r="DS209" s="381"/>
      <c r="DT209" s="381"/>
      <c r="DU209" s="381"/>
      <c r="DV209" s="381"/>
      <c r="DW209" s="381"/>
      <c r="DX209" s="381"/>
      <c r="DY209" s="381"/>
      <c r="DZ209" s="381"/>
      <c r="EA209" s="381"/>
      <c r="EB209" s="381"/>
      <c r="EC209" s="381"/>
      <c r="ED209" s="381"/>
      <c r="EE209" s="381"/>
      <c r="EF209" s="381"/>
      <c r="EG209" s="381"/>
      <c r="EH209" s="381"/>
      <c r="EI209" s="381"/>
      <c r="EJ209" s="381"/>
      <c r="EK209" s="381"/>
      <c r="EL209" s="381"/>
      <c r="EM209" s="381"/>
      <c r="EN209" s="381"/>
      <c r="EO209" s="381"/>
      <c r="EP209" s="381"/>
      <c r="EQ209" s="381"/>
      <c r="ER209" s="381"/>
      <c r="ES209" s="381"/>
      <c r="ET209" s="381"/>
      <c r="EU209" s="381"/>
      <c r="EV209" s="381"/>
      <c r="EW209" s="381"/>
      <c r="EX209" s="381"/>
      <c r="EY209" s="381"/>
      <c r="EZ209" s="381"/>
      <c r="FA209" s="381"/>
      <c r="FB209" s="381"/>
      <c r="FC209" s="381"/>
      <c r="FD209" s="381"/>
      <c r="FE209" s="381"/>
      <c r="FF209" s="381"/>
      <c r="FG209" s="381"/>
      <c r="FH209" s="381"/>
      <c r="FI209" s="381"/>
      <c r="FJ209" s="381"/>
      <c r="FK209" s="381"/>
      <c r="FL209" s="381"/>
      <c r="FM209" s="381"/>
      <c r="FN209" s="381"/>
      <c r="FO209" s="381"/>
      <c r="FP209" s="381"/>
      <c r="FQ209" s="381"/>
      <c r="FR209" s="381"/>
      <c r="FS209" s="381"/>
      <c r="FT209" s="381"/>
      <c r="FU209" s="381"/>
      <c r="FV209" s="381"/>
      <c r="FW209" s="381"/>
      <c r="FX209" s="381"/>
      <c r="FY209" s="381"/>
      <c r="FZ209" s="381"/>
      <c r="GA209" s="381"/>
      <c r="GB209" s="381"/>
      <c r="GC209" s="381"/>
      <c r="GD209" s="381"/>
      <c r="GE209" s="381"/>
      <c r="GF209" s="381"/>
      <c r="GG209" s="381"/>
      <c r="GH209" s="381"/>
      <c r="GI209" s="381"/>
      <c r="GJ209" s="381"/>
      <c r="GK209" s="381"/>
      <c r="GL209" s="381"/>
      <c r="GM209" s="381"/>
      <c r="GN209" s="381"/>
      <c r="GO209" s="381"/>
      <c r="GP209" s="381"/>
      <c r="GQ209" s="381"/>
      <c r="GR209" s="381"/>
      <c r="GS209" s="381"/>
      <c r="GT209" s="381"/>
      <c r="GU209" s="381"/>
      <c r="GV209" s="381"/>
      <c r="GW209" s="381"/>
      <c r="GX209" s="381"/>
      <c r="GY209" s="381"/>
      <c r="GZ209" s="381"/>
      <c r="HA209" s="381"/>
      <c r="HB209" s="381"/>
      <c r="HC209" s="381"/>
      <c r="HD209" s="381"/>
      <c r="HE209" s="381"/>
      <c r="HF209" s="381"/>
      <c r="HG209" s="381"/>
      <c r="HH209" s="381"/>
      <c r="HI209" s="381"/>
      <c r="HJ209" s="381"/>
      <c r="HK209" s="381"/>
      <c r="HL209" s="381"/>
      <c r="HM209" s="381"/>
      <c r="HN209" s="381"/>
      <c r="HO209" s="381"/>
      <c r="HP209" s="381"/>
      <c r="HQ209" s="381"/>
      <c r="HR209" s="381"/>
      <c r="HS209" s="381"/>
      <c r="HT209" s="381"/>
      <c r="HU209" s="381"/>
      <c r="HV209" s="381"/>
      <c r="HW209" s="381"/>
      <c r="HX209" s="381"/>
      <c r="HY209" s="381"/>
      <c r="HZ209" s="381"/>
      <c r="IA209" s="381"/>
      <c r="IB209" s="381"/>
      <c r="IC209" s="381"/>
      <c r="ID209" s="381"/>
      <c r="IE209" s="381"/>
      <c r="IF209" s="381"/>
      <c r="IG209" s="381"/>
      <c r="IH209" s="381"/>
      <c r="II209" s="381"/>
      <c r="IJ209" s="381"/>
      <c r="IK209" s="381"/>
      <c r="IL209" s="381"/>
      <c r="IM209" s="381"/>
      <c r="IN209" s="381"/>
      <c r="IO209" s="381"/>
    </row>
    <row r="210" spans="1:249" s="382" customFormat="1" ht="17.399999999999999" customHeight="1" thickBot="1">
      <c r="A210" s="558" t="s">
        <v>224</v>
      </c>
      <c r="B210" s="558"/>
      <c r="C210" s="563"/>
      <c r="D210" s="550"/>
      <c r="E210" s="552"/>
      <c r="F210" s="554"/>
      <c r="G210" s="556"/>
      <c r="H210" s="380"/>
      <c r="I210" s="381"/>
      <c r="J210" s="381"/>
      <c r="K210" s="381"/>
      <c r="L210" s="381"/>
      <c r="M210" s="381"/>
      <c r="N210" s="381"/>
      <c r="O210" s="381"/>
      <c r="P210" s="381"/>
      <c r="Q210" s="381"/>
      <c r="R210" s="381"/>
      <c r="S210" s="381"/>
      <c r="T210" s="381"/>
      <c r="U210" s="381"/>
      <c r="V210" s="381"/>
      <c r="W210" s="381"/>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c r="AS210" s="381"/>
      <c r="AT210" s="381"/>
      <c r="AU210" s="381"/>
      <c r="AV210" s="381"/>
      <c r="AW210" s="381"/>
      <c r="AX210" s="381"/>
      <c r="AY210" s="381"/>
      <c r="AZ210" s="381"/>
      <c r="BA210" s="381"/>
      <c r="BB210" s="381"/>
      <c r="BC210" s="381"/>
      <c r="BD210" s="381"/>
      <c r="BE210" s="381"/>
      <c r="BF210" s="381"/>
      <c r="BG210" s="381"/>
      <c r="BH210" s="381"/>
      <c r="BI210" s="381"/>
      <c r="BJ210" s="381"/>
      <c r="BK210" s="381"/>
      <c r="BL210" s="381"/>
      <c r="BM210" s="381"/>
      <c r="BN210" s="381"/>
      <c r="BO210" s="381"/>
      <c r="BP210" s="381"/>
      <c r="BQ210" s="381"/>
      <c r="BR210" s="381"/>
      <c r="BS210" s="381"/>
      <c r="BT210" s="381"/>
      <c r="BU210" s="381"/>
      <c r="BV210" s="381"/>
      <c r="BW210" s="381"/>
      <c r="BX210" s="381"/>
      <c r="BY210" s="381"/>
      <c r="BZ210" s="381"/>
      <c r="CA210" s="381"/>
      <c r="CB210" s="381"/>
      <c r="CC210" s="381"/>
      <c r="CD210" s="381"/>
      <c r="CE210" s="381"/>
      <c r="CF210" s="381"/>
      <c r="CG210" s="381"/>
      <c r="CH210" s="381"/>
      <c r="CI210" s="381"/>
      <c r="CJ210" s="381"/>
      <c r="CK210" s="381"/>
      <c r="CL210" s="381"/>
      <c r="CM210" s="381"/>
      <c r="CN210" s="381"/>
      <c r="CO210" s="381"/>
      <c r="CP210" s="381"/>
      <c r="CQ210" s="381"/>
      <c r="CR210" s="381"/>
      <c r="CS210" s="381"/>
      <c r="CT210" s="381"/>
      <c r="CU210" s="381"/>
      <c r="CV210" s="381"/>
      <c r="CW210" s="381"/>
      <c r="CX210" s="381"/>
      <c r="CY210" s="381"/>
      <c r="CZ210" s="381"/>
      <c r="DA210" s="381"/>
      <c r="DB210" s="381"/>
      <c r="DC210" s="381"/>
      <c r="DD210" s="381"/>
      <c r="DE210" s="381"/>
      <c r="DF210" s="381"/>
      <c r="DG210" s="381"/>
      <c r="DH210" s="381"/>
      <c r="DI210" s="381"/>
      <c r="DJ210" s="381"/>
      <c r="DK210" s="381"/>
      <c r="DL210" s="381"/>
      <c r="DM210" s="381"/>
      <c r="DN210" s="381"/>
      <c r="DO210" s="381"/>
      <c r="DP210" s="381"/>
      <c r="DQ210" s="381"/>
      <c r="DR210" s="381"/>
      <c r="DS210" s="381"/>
      <c r="DT210" s="381"/>
      <c r="DU210" s="381"/>
      <c r="DV210" s="381"/>
      <c r="DW210" s="381"/>
      <c r="DX210" s="381"/>
      <c r="DY210" s="381"/>
      <c r="DZ210" s="381"/>
      <c r="EA210" s="381"/>
      <c r="EB210" s="381"/>
      <c r="EC210" s="381"/>
      <c r="ED210" s="381"/>
      <c r="EE210" s="381"/>
      <c r="EF210" s="381"/>
      <c r="EG210" s="381"/>
      <c r="EH210" s="381"/>
      <c r="EI210" s="381"/>
      <c r="EJ210" s="381"/>
      <c r="EK210" s="381"/>
      <c r="EL210" s="381"/>
      <c r="EM210" s="381"/>
      <c r="EN210" s="381"/>
      <c r="EO210" s="381"/>
      <c r="EP210" s="381"/>
      <c r="EQ210" s="381"/>
      <c r="ER210" s="381"/>
      <c r="ES210" s="381"/>
      <c r="ET210" s="381"/>
      <c r="EU210" s="381"/>
      <c r="EV210" s="381"/>
      <c r="EW210" s="381"/>
      <c r="EX210" s="381"/>
      <c r="EY210" s="381"/>
      <c r="EZ210" s="381"/>
      <c r="FA210" s="381"/>
      <c r="FB210" s="381"/>
      <c r="FC210" s="381"/>
      <c r="FD210" s="381"/>
      <c r="FE210" s="381"/>
      <c r="FF210" s="381"/>
      <c r="FG210" s="381"/>
      <c r="FH210" s="381"/>
      <c r="FI210" s="381"/>
      <c r="FJ210" s="381"/>
      <c r="FK210" s="381"/>
      <c r="FL210" s="381"/>
      <c r="FM210" s="381"/>
      <c r="FN210" s="381"/>
      <c r="FO210" s="381"/>
      <c r="FP210" s="381"/>
      <c r="FQ210" s="381"/>
      <c r="FR210" s="381"/>
      <c r="FS210" s="381"/>
      <c r="FT210" s="381"/>
      <c r="FU210" s="381"/>
      <c r="FV210" s="381"/>
      <c r="FW210" s="381"/>
      <c r="FX210" s="381"/>
      <c r="FY210" s="381"/>
      <c r="FZ210" s="381"/>
      <c r="GA210" s="381"/>
      <c r="GB210" s="381"/>
      <c r="GC210" s="381"/>
      <c r="GD210" s="381"/>
      <c r="GE210" s="381"/>
      <c r="GF210" s="381"/>
      <c r="GG210" s="381"/>
      <c r="GH210" s="381"/>
      <c r="GI210" s="381"/>
      <c r="GJ210" s="381"/>
      <c r="GK210" s="381"/>
      <c r="GL210" s="381"/>
      <c r="GM210" s="381"/>
      <c r="GN210" s="381"/>
      <c r="GO210" s="381"/>
      <c r="GP210" s="381"/>
      <c r="GQ210" s="381"/>
      <c r="GR210" s="381"/>
      <c r="GS210" s="381"/>
      <c r="GT210" s="381"/>
      <c r="GU210" s="381"/>
      <c r="GV210" s="381"/>
      <c r="GW210" s="381"/>
      <c r="GX210" s="381"/>
      <c r="GY210" s="381"/>
      <c r="GZ210" s="381"/>
      <c r="HA210" s="381"/>
      <c r="HB210" s="381"/>
      <c r="HC210" s="381"/>
      <c r="HD210" s="381"/>
      <c r="HE210" s="381"/>
      <c r="HF210" s="381"/>
      <c r="HG210" s="381"/>
      <c r="HH210" s="381"/>
      <c r="HI210" s="381"/>
      <c r="HJ210" s="381"/>
      <c r="HK210" s="381"/>
      <c r="HL210" s="381"/>
      <c r="HM210" s="381"/>
      <c r="HN210" s="381"/>
      <c r="HO210" s="381"/>
      <c r="HP210" s="381"/>
      <c r="HQ210" s="381"/>
      <c r="HR210" s="381"/>
      <c r="HS210" s="381"/>
      <c r="HT210" s="381"/>
      <c r="HU210" s="381"/>
      <c r="HV210" s="381"/>
      <c r="HW210" s="381"/>
      <c r="HX210" s="381"/>
      <c r="HY210" s="381"/>
      <c r="HZ210" s="381"/>
      <c r="IA210" s="381"/>
      <c r="IB210" s="381"/>
      <c r="IC210" s="381"/>
      <c r="ID210" s="381"/>
      <c r="IE210" s="381"/>
      <c r="IF210" s="381"/>
      <c r="IG210" s="381"/>
      <c r="IH210" s="381"/>
      <c r="II210" s="381"/>
      <c r="IJ210" s="381"/>
      <c r="IK210" s="381"/>
      <c r="IL210" s="381"/>
      <c r="IM210" s="381"/>
      <c r="IN210" s="381"/>
      <c r="IO210" s="381"/>
    </row>
    <row r="211" spans="1:249" s="260" customFormat="1" ht="78" customHeight="1">
      <c r="A211" s="321" t="s">
        <v>241</v>
      </c>
      <c r="B211" s="322" t="s">
        <v>499</v>
      </c>
      <c r="C211" s="319" t="s">
        <v>227</v>
      </c>
      <c r="D211" s="329">
        <v>22</v>
      </c>
      <c r="E211" s="285"/>
      <c r="F211" s="253">
        <f t="shared" ref="F211:F243" si="17">E211*D211</f>
        <v>0</v>
      </c>
      <c r="G211" s="294"/>
      <c r="H211" s="305"/>
    </row>
    <row r="212" spans="1:249" s="260" customFormat="1" ht="71.25" customHeight="1">
      <c r="A212" s="321" t="s">
        <v>242</v>
      </c>
      <c r="B212" s="322" t="s">
        <v>500</v>
      </c>
      <c r="C212" s="319" t="s">
        <v>266</v>
      </c>
      <c r="D212" s="257">
        <v>3100</v>
      </c>
      <c r="E212" s="285"/>
      <c r="F212" s="253">
        <f t="shared" si="17"/>
        <v>0</v>
      </c>
      <c r="G212" s="294"/>
      <c r="H212" s="305"/>
    </row>
    <row r="213" spans="1:249" s="260" customFormat="1">
      <c r="A213" s="321" t="s">
        <v>249</v>
      </c>
      <c r="B213" s="322" t="s">
        <v>274</v>
      </c>
      <c r="C213" s="319"/>
      <c r="D213" s="329"/>
      <c r="E213" s="245"/>
      <c r="F213" s="253">
        <f t="shared" si="17"/>
        <v>0</v>
      </c>
      <c r="G213" s="294"/>
      <c r="H213" s="305"/>
    </row>
    <row r="214" spans="1:249" s="260" customFormat="1" ht="99.75" customHeight="1">
      <c r="A214" s="323" t="s">
        <v>364</v>
      </c>
      <c r="B214" s="315" t="s">
        <v>501</v>
      </c>
      <c r="C214" s="319" t="s">
        <v>229</v>
      </c>
      <c r="D214" s="257">
        <f>18*D216</f>
        <v>2700</v>
      </c>
      <c r="E214" s="278"/>
      <c r="F214" s="253">
        <f t="shared" si="17"/>
        <v>0</v>
      </c>
      <c r="G214" s="294"/>
      <c r="H214" s="305"/>
    </row>
    <row r="215" spans="1:249" s="260" customFormat="1" ht="103.5" customHeight="1">
      <c r="A215" s="323" t="s">
        <v>365</v>
      </c>
      <c r="B215" s="315" t="s">
        <v>502</v>
      </c>
      <c r="C215" s="319" t="s">
        <v>229</v>
      </c>
      <c r="D215" s="257">
        <f>16*D217</f>
        <v>10592</v>
      </c>
      <c r="E215" s="278"/>
      <c r="F215" s="253">
        <f t="shared" si="17"/>
        <v>0</v>
      </c>
      <c r="G215" s="294"/>
      <c r="H215" s="305"/>
    </row>
    <row r="216" spans="1:249" s="260" customFormat="1" ht="95.25" customHeight="1">
      <c r="A216" s="323" t="s">
        <v>366</v>
      </c>
      <c r="B216" s="315" t="s">
        <v>503</v>
      </c>
      <c r="C216" s="319" t="s">
        <v>229</v>
      </c>
      <c r="D216" s="257">
        <v>150</v>
      </c>
      <c r="E216" s="278"/>
      <c r="F216" s="253">
        <f t="shared" si="17"/>
        <v>0</v>
      </c>
      <c r="G216" s="294"/>
      <c r="H216" s="305"/>
    </row>
    <row r="217" spans="1:249" s="260" customFormat="1" ht="100.5" customHeight="1">
      <c r="A217" s="323" t="s">
        <v>367</v>
      </c>
      <c r="B217" s="315" t="s">
        <v>504</v>
      </c>
      <c r="C217" s="319" t="s">
        <v>229</v>
      </c>
      <c r="D217" s="257">
        <v>662</v>
      </c>
      <c r="E217" s="278"/>
      <c r="F217" s="253">
        <f t="shared" si="17"/>
        <v>0</v>
      </c>
      <c r="G217" s="294"/>
      <c r="H217" s="305"/>
    </row>
    <row r="218" spans="1:249" s="260" customFormat="1" ht="104">
      <c r="A218" s="323" t="s">
        <v>368</v>
      </c>
      <c r="B218" s="324" t="s">
        <v>576</v>
      </c>
      <c r="C218" s="319" t="s">
        <v>229</v>
      </c>
      <c r="D218" s="257">
        <f t="shared" ref="D218" si="18">8700+31776</f>
        <v>40476</v>
      </c>
      <c r="E218" s="278"/>
      <c r="F218" s="253">
        <f t="shared" si="17"/>
        <v>0</v>
      </c>
      <c r="G218" s="294"/>
      <c r="H218" s="305"/>
    </row>
    <row r="219" spans="1:249" s="260" customFormat="1" ht="32.25" customHeight="1">
      <c r="A219" s="321" t="s">
        <v>250</v>
      </c>
      <c r="B219" s="325" t="s">
        <v>263</v>
      </c>
      <c r="C219" s="383"/>
      <c r="D219" s="257"/>
      <c r="E219" s="245"/>
      <c r="F219" s="253">
        <f t="shared" si="17"/>
        <v>0</v>
      </c>
      <c r="G219" s="294"/>
      <c r="H219" s="305"/>
    </row>
    <row r="220" spans="1:249" s="260" customFormat="1" ht="111" customHeight="1">
      <c r="A220" s="323" t="s">
        <v>369</v>
      </c>
      <c r="B220" s="324" t="s">
        <v>505</v>
      </c>
      <c r="C220" s="319" t="s">
        <v>229</v>
      </c>
      <c r="D220" s="288">
        <v>2</v>
      </c>
      <c r="E220" s="289"/>
      <c r="F220" s="253">
        <f t="shared" si="17"/>
        <v>0</v>
      </c>
      <c r="G220" s="294"/>
      <c r="H220" s="305"/>
    </row>
    <row r="221" spans="1:249" s="260" customFormat="1" ht="88.5" customHeight="1">
      <c r="A221" s="323" t="s">
        <v>370</v>
      </c>
      <c r="B221" s="324" t="s">
        <v>506</v>
      </c>
      <c r="C221" s="319" t="s">
        <v>229</v>
      </c>
      <c r="D221" s="289">
        <f>48+3</f>
        <v>51</v>
      </c>
      <c r="E221" s="285"/>
      <c r="F221" s="253">
        <f t="shared" si="17"/>
        <v>0</v>
      </c>
      <c r="G221" s="294"/>
      <c r="H221" s="305"/>
    </row>
    <row r="222" spans="1:249" s="260" customFormat="1">
      <c r="A222" s="321" t="s">
        <v>251</v>
      </c>
      <c r="B222" s="322" t="s">
        <v>279</v>
      </c>
      <c r="C222" s="383"/>
      <c r="D222" s="329"/>
      <c r="E222" s="245"/>
      <c r="F222" s="253">
        <f t="shared" si="17"/>
        <v>0</v>
      </c>
      <c r="G222" s="294"/>
      <c r="H222" s="305"/>
    </row>
    <row r="223" spans="1:249" s="260" customFormat="1" ht="74.25" customHeight="1">
      <c r="A223" s="323" t="s">
        <v>371</v>
      </c>
      <c r="B223" s="324" t="s">
        <v>407</v>
      </c>
      <c r="C223" s="319" t="s">
        <v>229</v>
      </c>
      <c r="D223" s="286">
        <v>2</v>
      </c>
      <c r="E223" s="285"/>
      <c r="F223" s="253">
        <f t="shared" si="17"/>
        <v>0</v>
      </c>
      <c r="G223" s="294"/>
      <c r="H223" s="305"/>
    </row>
    <row r="224" spans="1:249" s="260" customFormat="1">
      <c r="A224" s="323" t="s">
        <v>372</v>
      </c>
      <c r="B224" s="324" t="s">
        <v>290</v>
      </c>
      <c r="C224" s="319" t="s">
        <v>229</v>
      </c>
      <c r="D224" s="289">
        <f>48+3</f>
        <v>51</v>
      </c>
      <c r="E224" s="285"/>
      <c r="F224" s="253">
        <f t="shared" si="17"/>
        <v>0</v>
      </c>
      <c r="G224" s="294"/>
      <c r="H224" s="305"/>
    </row>
    <row r="225" spans="1:8" s="260" customFormat="1" ht="121.25" customHeight="1">
      <c r="A225" s="323" t="s">
        <v>277</v>
      </c>
      <c r="B225" s="322" t="s">
        <v>507</v>
      </c>
      <c r="C225" s="319" t="s">
        <v>228</v>
      </c>
      <c r="D225" s="297">
        <v>99</v>
      </c>
      <c r="E225" s="296"/>
      <c r="F225" s="253">
        <f t="shared" si="17"/>
        <v>0</v>
      </c>
      <c r="G225" s="294"/>
      <c r="H225" s="305"/>
    </row>
    <row r="226" spans="1:8" s="260" customFormat="1" ht="28.5" customHeight="1">
      <c r="A226" s="323" t="s">
        <v>580</v>
      </c>
      <c r="B226" s="322" t="s">
        <v>296</v>
      </c>
      <c r="C226" s="319" t="s">
        <v>228</v>
      </c>
      <c r="D226" s="297">
        <f t="shared" ref="D226" si="19">3276/78*15</f>
        <v>630</v>
      </c>
      <c r="E226" s="296"/>
      <c r="F226" s="253">
        <f t="shared" si="17"/>
        <v>0</v>
      </c>
      <c r="G226" s="294"/>
      <c r="H226" s="305"/>
    </row>
    <row r="227" spans="1:8" s="260" customFormat="1" ht="30" customHeight="1">
      <c r="A227" s="323" t="s">
        <v>276</v>
      </c>
      <c r="B227" s="322" t="s">
        <v>508</v>
      </c>
      <c r="C227" s="319" t="s">
        <v>230</v>
      </c>
      <c r="D227" s="298">
        <f t="shared" ref="D227" si="20">22.7/115.6*15</f>
        <v>2.9455017301038064</v>
      </c>
      <c r="E227" s="296"/>
      <c r="F227" s="253">
        <f t="shared" si="17"/>
        <v>0</v>
      </c>
      <c r="G227" s="294"/>
      <c r="H227" s="305"/>
    </row>
    <row r="228" spans="1:8" s="260" customFormat="1" ht="62.25" customHeight="1">
      <c r="A228" s="323" t="s">
        <v>267</v>
      </c>
      <c r="B228" s="326" t="s">
        <v>509</v>
      </c>
      <c r="C228" s="320" t="s">
        <v>230</v>
      </c>
      <c r="D228" s="276">
        <f t="shared" ref="D228" si="21">56.1/115.6*15</f>
        <v>7.2794117647058831</v>
      </c>
      <c r="E228" s="285"/>
      <c r="F228" s="253">
        <f t="shared" si="17"/>
        <v>0</v>
      </c>
      <c r="G228" s="294"/>
      <c r="H228" s="305"/>
    </row>
    <row r="229" spans="1:8" s="260" customFormat="1" ht="33.75" customHeight="1">
      <c r="A229" s="323" t="s">
        <v>252</v>
      </c>
      <c r="B229" s="322" t="s">
        <v>510</v>
      </c>
      <c r="C229" s="319" t="s">
        <v>230</v>
      </c>
      <c r="D229" s="287">
        <f t="shared" ref="D229" si="22">22.7/115.6*15</f>
        <v>2.9455017301038064</v>
      </c>
      <c r="E229" s="285"/>
      <c r="F229" s="253">
        <f t="shared" si="17"/>
        <v>0</v>
      </c>
      <c r="G229" s="294"/>
      <c r="H229" s="305"/>
    </row>
    <row r="230" spans="1:8" s="385" customFormat="1" ht="59.25" customHeight="1">
      <c r="A230" s="323" t="s">
        <v>253</v>
      </c>
      <c r="B230" s="326" t="s">
        <v>511</v>
      </c>
      <c r="C230" s="319" t="s">
        <v>230</v>
      </c>
      <c r="D230" s="275">
        <f t="shared" ref="D230" si="23">75/16*2</f>
        <v>9.375</v>
      </c>
      <c r="E230" s="285"/>
      <c r="F230" s="253">
        <f t="shared" si="17"/>
        <v>0</v>
      </c>
      <c r="G230" s="294"/>
      <c r="H230" s="384"/>
    </row>
    <row r="231" spans="1:8" s="385" customFormat="1" ht="50.25" customHeight="1">
      <c r="A231" s="323" t="s">
        <v>373</v>
      </c>
      <c r="B231" s="322" t="s">
        <v>326</v>
      </c>
      <c r="C231" s="319" t="s">
        <v>230</v>
      </c>
      <c r="D231" s="276">
        <f t="shared" ref="D231" si="24">12/115.6*15</f>
        <v>1.5570934256055364</v>
      </c>
      <c r="E231" s="285"/>
      <c r="F231" s="253">
        <f t="shared" si="17"/>
        <v>0</v>
      </c>
      <c r="G231" s="294"/>
      <c r="H231" s="384"/>
    </row>
    <row r="232" spans="1:8" s="385" customFormat="1" ht="58.5" customHeight="1">
      <c r="A232" s="323" t="s">
        <v>254</v>
      </c>
      <c r="B232" s="322" t="s">
        <v>512</v>
      </c>
      <c r="C232" s="319" t="s">
        <v>230</v>
      </c>
      <c r="D232" s="276">
        <f t="shared" ref="D232" si="25">15/16*2</f>
        <v>1.875</v>
      </c>
      <c r="E232" s="285"/>
      <c r="F232" s="253">
        <f t="shared" si="17"/>
        <v>0</v>
      </c>
      <c r="G232" s="294"/>
      <c r="H232" s="384"/>
    </row>
    <row r="233" spans="1:8" s="260" customFormat="1">
      <c r="A233" s="321" t="s">
        <v>248</v>
      </c>
      <c r="B233" s="322" t="s">
        <v>231</v>
      </c>
      <c r="C233" s="319"/>
      <c r="D233" s="329"/>
      <c r="E233" s="245"/>
      <c r="F233" s="253">
        <f t="shared" si="17"/>
        <v>0</v>
      </c>
      <c r="G233" s="294"/>
      <c r="H233" s="305"/>
    </row>
    <row r="234" spans="1:8" s="260" customFormat="1" ht="85.5" customHeight="1">
      <c r="A234" s="323" t="s">
        <v>264</v>
      </c>
      <c r="B234" s="315" t="s">
        <v>513</v>
      </c>
      <c r="C234" s="319" t="s">
        <v>230</v>
      </c>
      <c r="D234" s="270">
        <v>86</v>
      </c>
      <c r="E234" s="290"/>
      <c r="F234" s="253">
        <f t="shared" si="17"/>
        <v>0</v>
      </c>
      <c r="G234" s="294"/>
      <c r="H234" s="305"/>
    </row>
    <row r="235" spans="1:8" s="260" customFormat="1" ht="91.5" customHeight="1">
      <c r="A235" s="323" t="s">
        <v>265</v>
      </c>
      <c r="B235" s="315" t="s">
        <v>514</v>
      </c>
      <c r="C235" s="319" t="s">
        <v>230</v>
      </c>
      <c r="D235" s="270">
        <v>41</v>
      </c>
      <c r="E235" s="290"/>
      <c r="F235" s="253">
        <f t="shared" si="17"/>
        <v>0</v>
      </c>
      <c r="G235" s="294"/>
      <c r="H235" s="305"/>
    </row>
    <row r="236" spans="1:8" s="260" customFormat="1" ht="87" customHeight="1">
      <c r="A236" s="323" t="s">
        <v>338</v>
      </c>
      <c r="B236" s="315" t="s">
        <v>515</v>
      </c>
      <c r="C236" s="319" t="s">
        <v>230</v>
      </c>
      <c r="D236" s="329">
        <v>7.8</v>
      </c>
      <c r="E236" s="290"/>
      <c r="F236" s="253">
        <f t="shared" si="17"/>
        <v>0</v>
      </c>
      <c r="G236" s="294"/>
      <c r="H236" s="305"/>
    </row>
    <row r="237" spans="1:8" s="260" customFormat="1" ht="87.75" customHeight="1">
      <c r="A237" s="323" t="s">
        <v>339</v>
      </c>
      <c r="B237" s="315" t="s">
        <v>516</v>
      </c>
      <c r="C237" s="319" t="s">
        <v>230</v>
      </c>
      <c r="D237" s="329">
        <v>1.6</v>
      </c>
      <c r="E237" s="290"/>
      <c r="F237" s="253">
        <f t="shared" si="17"/>
        <v>0</v>
      </c>
      <c r="G237" s="294"/>
      <c r="H237" s="305"/>
    </row>
    <row r="238" spans="1:8" s="260" customFormat="1" ht="32.25" customHeight="1">
      <c r="A238" s="323" t="s">
        <v>340</v>
      </c>
      <c r="B238" s="315" t="s">
        <v>517</v>
      </c>
      <c r="C238" s="319" t="s">
        <v>230</v>
      </c>
      <c r="D238" s="329">
        <v>15.6</v>
      </c>
      <c r="E238" s="290"/>
      <c r="F238" s="253">
        <f t="shared" si="17"/>
        <v>0</v>
      </c>
      <c r="G238" s="294"/>
      <c r="H238" s="305"/>
    </row>
    <row r="239" spans="1:8" s="260" customFormat="1" ht="28.5" customHeight="1">
      <c r="A239" s="323" t="s">
        <v>342</v>
      </c>
      <c r="B239" s="315" t="s">
        <v>518</v>
      </c>
      <c r="C239" s="319" t="s">
        <v>230</v>
      </c>
      <c r="D239" s="269">
        <f t="shared" ref="D239" si="26">5/115.6*15</f>
        <v>0.6487889273356402</v>
      </c>
      <c r="E239" s="290"/>
      <c r="F239" s="253">
        <f t="shared" si="17"/>
        <v>0</v>
      </c>
      <c r="G239" s="294"/>
      <c r="H239" s="305"/>
    </row>
    <row r="240" spans="1:8" s="260" customFormat="1" ht="42.75" customHeight="1">
      <c r="A240" s="321" t="s">
        <v>269</v>
      </c>
      <c r="B240" s="327" t="s">
        <v>408</v>
      </c>
      <c r="C240" s="319" t="s">
        <v>229</v>
      </c>
      <c r="D240" s="291">
        <v>2</v>
      </c>
      <c r="E240" s="292"/>
      <c r="F240" s="253">
        <f t="shared" si="17"/>
        <v>0</v>
      </c>
      <c r="G240" s="294"/>
      <c r="H240" s="305"/>
    </row>
    <row r="241" spans="1:8" s="260" customFormat="1" ht="58.25" customHeight="1">
      <c r="A241" s="321" t="s">
        <v>341</v>
      </c>
      <c r="B241" s="318" t="s">
        <v>584</v>
      </c>
      <c r="C241" s="319" t="s">
        <v>229</v>
      </c>
      <c r="D241" s="289">
        <f>48+3</f>
        <v>51</v>
      </c>
      <c r="E241" s="292"/>
      <c r="F241" s="253">
        <f t="shared" si="17"/>
        <v>0</v>
      </c>
      <c r="G241" s="294"/>
      <c r="H241" s="305"/>
    </row>
    <row r="242" spans="1:8" s="260" customFormat="1" ht="45.75" customHeight="1">
      <c r="A242" s="321" t="s">
        <v>245</v>
      </c>
      <c r="B242" s="322" t="s">
        <v>519</v>
      </c>
      <c r="C242" s="319" t="s">
        <v>280</v>
      </c>
      <c r="D242" s="329">
        <f>10100/5</f>
        <v>2020</v>
      </c>
      <c r="E242" s="290"/>
      <c r="F242" s="253">
        <f t="shared" si="17"/>
        <v>0</v>
      </c>
      <c r="G242" s="294"/>
      <c r="H242" s="305"/>
    </row>
    <row r="243" spans="1:8" s="260" customFormat="1" ht="93" customHeight="1" thickBot="1">
      <c r="A243" s="321" t="s">
        <v>232</v>
      </c>
      <c r="B243" s="322" t="s">
        <v>392</v>
      </c>
      <c r="C243" s="319" t="s">
        <v>259</v>
      </c>
      <c r="D243" s="297">
        <v>0.13</v>
      </c>
      <c r="E243" s="302"/>
      <c r="F243" s="253">
        <f t="shared" si="17"/>
        <v>0</v>
      </c>
      <c r="G243" s="294"/>
      <c r="H243" s="305"/>
    </row>
    <row r="244" spans="1:8" s="260" customFormat="1">
      <c r="A244" s="524" t="s">
        <v>615</v>
      </c>
      <c r="B244" s="525"/>
      <c r="C244" s="525"/>
      <c r="D244" s="525"/>
      <c r="E244" s="330"/>
      <c r="F244" s="479">
        <f>SUM(F211:F243)</f>
        <v>0</v>
      </c>
      <c r="G244" s="303"/>
      <c r="H244" s="261"/>
    </row>
    <row r="245" spans="1:8" s="260" customFormat="1">
      <c r="A245" s="526" t="s">
        <v>247</v>
      </c>
      <c r="B245" s="527"/>
      <c r="C245" s="527"/>
      <c r="D245" s="527"/>
      <c r="E245" s="331"/>
      <c r="F245" s="254">
        <f>F244*0.2</f>
        <v>0</v>
      </c>
      <c r="G245" s="304"/>
      <c r="H245" s="261"/>
    </row>
    <row r="246" spans="1:8" s="260" customFormat="1" ht="16" thickBot="1">
      <c r="A246" s="528" t="s">
        <v>616</v>
      </c>
      <c r="B246" s="529"/>
      <c r="C246" s="529"/>
      <c r="D246" s="529"/>
      <c r="E246" s="332"/>
      <c r="F246" s="255">
        <f>F244+F245</f>
        <v>0</v>
      </c>
      <c r="G246" s="304"/>
      <c r="H246" s="261"/>
    </row>
    <row r="247" spans="1:8" s="260" customFormat="1" ht="50.25" customHeight="1" thickBot="1">
      <c r="A247" s="530" t="s">
        <v>219</v>
      </c>
      <c r="B247" s="532" t="s">
        <v>220</v>
      </c>
      <c r="C247" s="534" t="s">
        <v>240</v>
      </c>
      <c r="D247" s="535"/>
      <c r="E247" s="536" t="s">
        <v>221</v>
      </c>
      <c r="F247" s="537"/>
      <c r="G247" s="412"/>
      <c r="H247" s="261"/>
    </row>
    <row r="248" spans="1:8" s="260" customFormat="1" ht="27.65" customHeight="1">
      <c r="A248" s="531"/>
      <c r="B248" s="533"/>
      <c r="C248" s="538" t="s">
        <v>222</v>
      </c>
      <c r="D248" s="539" t="s">
        <v>223</v>
      </c>
      <c r="E248" s="540" t="s">
        <v>610</v>
      </c>
      <c r="F248" s="541" t="s">
        <v>611</v>
      </c>
      <c r="G248" s="520"/>
      <c r="H248" s="261"/>
    </row>
    <row r="249" spans="1:8" s="260" customFormat="1" ht="16" thickBot="1">
      <c r="A249" s="522" t="s">
        <v>301</v>
      </c>
      <c r="B249" s="523"/>
      <c r="C249" s="538"/>
      <c r="D249" s="539"/>
      <c r="E249" s="540"/>
      <c r="F249" s="541"/>
      <c r="G249" s="521"/>
      <c r="H249" s="261"/>
    </row>
    <row r="250" spans="1:8" s="260" customFormat="1">
      <c r="A250" s="299" t="s">
        <v>241</v>
      </c>
      <c r="B250" s="242" t="s">
        <v>307</v>
      </c>
      <c r="C250" s="328" t="s">
        <v>226</v>
      </c>
      <c r="D250" s="297">
        <v>0.13</v>
      </c>
      <c r="E250" s="300"/>
      <c r="F250" s="253">
        <f t="shared" ref="F250:F251" si="27">E250*D250</f>
        <v>0</v>
      </c>
      <c r="G250" s="411"/>
      <c r="H250" s="261"/>
    </row>
    <row r="251" spans="1:8" s="260" customFormat="1" ht="26.5" thickBot="1">
      <c r="A251" s="250" t="s">
        <v>242</v>
      </c>
      <c r="B251" s="248" t="s">
        <v>312</v>
      </c>
      <c r="C251" s="328" t="s">
        <v>226</v>
      </c>
      <c r="D251" s="297">
        <v>0.13</v>
      </c>
      <c r="E251" s="300"/>
      <c r="F251" s="253">
        <f t="shared" si="27"/>
        <v>0</v>
      </c>
      <c r="G251" s="293"/>
      <c r="H251" s="261"/>
    </row>
    <row r="252" spans="1:8" s="260" customFormat="1">
      <c r="A252" s="524" t="s">
        <v>613</v>
      </c>
      <c r="B252" s="525"/>
      <c r="C252" s="525"/>
      <c r="D252" s="525"/>
      <c r="E252" s="333"/>
      <c r="F252" s="262">
        <f>SUM(F250:F251)</f>
        <v>0</v>
      </c>
      <c r="G252" s="249"/>
      <c r="H252" s="261"/>
    </row>
    <row r="253" spans="1:8" s="260" customFormat="1">
      <c r="A253" s="526" t="s">
        <v>247</v>
      </c>
      <c r="B253" s="527"/>
      <c r="C253" s="527"/>
      <c r="D253" s="527"/>
      <c r="E253" s="331"/>
      <c r="F253" s="256">
        <f>F252*0.2</f>
        <v>0</v>
      </c>
      <c r="G253" s="249"/>
      <c r="H253" s="261"/>
    </row>
    <row r="254" spans="1:8" s="260" customFormat="1" ht="16" thickBot="1">
      <c r="A254" s="528" t="s">
        <v>614</v>
      </c>
      <c r="B254" s="529"/>
      <c r="C254" s="529"/>
      <c r="D254" s="529"/>
      <c r="E254" s="332"/>
      <c r="F254" s="263">
        <f>F252+F253</f>
        <v>0</v>
      </c>
      <c r="G254" s="249"/>
      <c r="H254" s="261"/>
    </row>
    <row r="256" spans="1:8" ht="16" thickBot="1"/>
    <row r="257" spans="1:249" ht="16" thickBot="1">
      <c r="A257" s="542" t="s">
        <v>284</v>
      </c>
      <c r="B257" s="543"/>
      <c r="C257" s="543"/>
      <c r="D257" s="543"/>
      <c r="E257" s="543"/>
      <c r="F257" s="543"/>
      <c r="G257" s="543"/>
      <c r="H257" s="261"/>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c r="AT257" s="260"/>
      <c r="AU257" s="260"/>
      <c r="AV257" s="260"/>
      <c r="AW257" s="260"/>
      <c r="AX257" s="260"/>
      <c r="AY257" s="260"/>
      <c r="AZ257" s="260"/>
      <c r="BA257" s="260"/>
      <c r="BB257" s="260"/>
      <c r="BC257" s="260"/>
      <c r="BD257" s="260"/>
      <c r="BE257" s="260"/>
      <c r="BF257" s="260"/>
      <c r="BG257" s="260"/>
      <c r="BH257" s="260"/>
      <c r="BI257" s="260"/>
      <c r="BJ257" s="260"/>
      <c r="BK257" s="260"/>
      <c r="BL257" s="260"/>
      <c r="BM257" s="260"/>
      <c r="BN257" s="260"/>
      <c r="BO257" s="260"/>
      <c r="BP257" s="260"/>
      <c r="BQ257" s="260"/>
      <c r="BR257" s="260"/>
      <c r="BS257" s="260"/>
      <c r="BT257" s="260"/>
      <c r="BU257" s="260"/>
      <c r="BV257" s="260"/>
      <c r="BW257" s="260"/>
      <c r="BX257" s="260"/>
      <c r="BY257" s="260"/>
      <c r="BZ257" s="260"/>
      <c r="CA257" s="260"/>
      <c r="CB257" s="260"/>
      <c r="CC257" s="260"/>
      <c r="CD257" s="260"/>
      <c r="CE257" s="260"/>
      <c r="CF257" s="260"/>
      <c r="CG257" s="260"/>
      <c r="CH257" s="260"/>
      <c r="CI257" s="260"/>
      <c r="CJ257" s="260"/>
      <c r="CK257" s="260"/>
      <c r="CL257" s="260"/>
      <c r="CM257" s="260"/>
      <c r="CN257" s="260"/>
      <c r="CO257" s="260"/>
      <c r="CP257" s="260"/>
      <c r="CQ257" s="260"/>
      <c r="CR257" s="260"/>
      <c r="CS257" s="260"/>
      <c r="CT257" s="260"/>
      <c r="CU257" s="260"/>
      <c r="CV257" s="260"/>
      <c r="CW257" s="260"/>
      <c r="CX257" s="260"/>
      <c r="CY257" s="260"/>
      <c r="CZ257" s="260"/>
      <c r="DA257" s="260"/>
      <c r="DB257" s="260"/>
      <c r="DC257" s="260"/>
      <c r="DD257" s="260"/>
      <c r="DE257" s="260"/>
      <c r="DF257" s="260"/>
      <c r="DG257" s="260"/>
      <c r="DH257" s="260"/>
      <c r="DI257" s="260"/>
      <c r="DJ257" s="260"/>
      <c r="DK257" s="260"/>
      <c r="DL257" s="260"/>
      <c r="DM257" s="260"/>
      <c r="DN257" s="260"/>
      <c r="DO257" s="260"/>
      <c r="DP257" s="260"/>
      <c r="DQ257" s="260"/>
      <c r="DR257" s="260"/>
      <c r="DS257" s="260"/>
      <c r="DT257" s="260"/>
      <c r="DU257" s="260"/>
      <c r="DV257" s="260"/>
      <c r="DW257" s="260"/>
      <c r="DX257" s="260"/>
      <c r="DY257" s="260"/>
      <c r="DZ257" s="260"/>
      <c r="EA257" s="260"/>
      <c r="EB257" s="260"/>
      <c r="EC257" s="260"/>
      <c r="ED257" s="260"/>
      <c r="EE257" s="260"/>
      <c r="EF257" s="260"/>
      <c r="EG257" s="260"/>
      <c r="EH257" s="260"/>
      <c r="EI257" s="260"/>
      <c r="EJ257" s="260"/>
      <c r="EK257" s="260"/>
      <c r="EL257" s="260"/>
      <c r="EM257" s="260"/>
      <c r="EN257" s="260"/>
      <c r="EO257" s="260"/>
      <c r="EP257" s="260"/>
      <c r="EQ257" s="260"/>
      <c r="ER257" s="260"/>
      <c r="ES257" s="260"/>
      <c r="ET257" s="260"/>
      <c r="EU257" s="260"/>
      <c r="EV257" s="260"/>
      <c r="EW257" s="260"/>
      <c r="EX257" s="260"/>
      <c r="EY257" s="260"/>
      <c r="EZ257" s="260"/>
      <c r="FA257" s="260"/>
      <c r="FB257" s="260"/>
      <c r="FC257" s="260"/>
      <c r="FD257" s="260"/>
      <c r="FE257" s="260"/>
      <c r="FF257" s="260"/>
      <c r="FG257" s="260"/>
      <c r="FH257" s="260"/>
      <c r="FI257" s="260"/>
      <c r="FJ257" s="260"/>
      <c r="FK257" s="260"/>
      <c r="FL257" s="260"/>
      <c r="FM257" s="260"/>
      <c r="FN257" s="260"/>
      <c r="FO257" s="260"/>
      <c r="FP257" s="260"/>
      <c r="FQ257" s="260"/>
      <c r="FR257" s="260"/>
      <c r="FS257" s="260"/>
      <c r="FT257" s="260"/>
      <c r="FU257" s="260"/>
      <c r="FV257" s="260"/>
      <c r="FW257" s="260"/>
      <c r="FX257" s="260"/>
      <c r="FY257" s="260"/>
      <c r="FZ257" s="260"/>
      <c r="GA257" s="260"/>
      <c r="GB257" s="260"/>
      <c r="GC257" s="260"/>
      <c r="GD257" s="260"/>
      <c r="GE257" s="260"/>
      <c r="GF257" s="260"/>
      <c r="GG257" s="260"/>
      <c r="GH257" s="260"/>
      <c r="GI257" s="260"/>
      <c r="GJ257" s="260"/>
      <c r="GK257" s="260"/>
      <c r="GL257" s="260"/>
      <c r="GM257" s="260"/>
      <c r="GN257" s="260"/>
      <c r="GO257" s="260"/>
      <c r="GP257" s="260"/>
      <c r="GQ257" s="260"/>
      <c r="GR257" s="260"/>
      <c r="GS257" s="260"/>
      <c r="GT257" s="260"/>
      <c r="GU257" s="260"/>
      <c r="GV257" s="260"/>
      <c r="GW257" s="260"/>
      <c r="GX257" s="260"/>
      <c r="GY257" s="260"/>
      <c r="GZ257" s="260"/>
      <c r="HA257" s="260"/>
      <c r="HB257" s="260"/>
      <c r="HC257" s="260"/>
      <c r="HD257" s="260"/>
      <c r="HE257" s="260"/>
      <c r="HF257" s="260"/>
      <c r="HG257" s="260"/>
      <c r="HH257" s="260"/>
      <c r="HI257" s="260"/>
      <c r="HJ257" s="260"/>
      <c r="HK257" s="260"/>
      <c r="HL257" s="260"/>
      <c r="HM257" s="260"/>
      <c r="HN257" s="260"/>
      <c r="HO257" s="260"/>
      <c r="HP257" s="260"/>
      <c r="HQ257" s="260"/>
      <c r="HR257" s="260"/>
      <c r="HS257" s="260"/>
      <c r="HT257" s="260"/>
      <c r="HU257" s="260"/>
      <c r="HV257" s="260"/>
      <c r="HW257" s="260"/>
      <c r="HX257" s="260"/>
      <c r="HY257" s="260"/>
      <c r="HZ257" s="260"/>
      <c r="IA257" s="260"/>
      <c r="IB257" s="260"/>
      <c r="IC257" s="260"/>
      <c r="ID257" s="260"/>
      <c r="IE257" s="260"/>
      <c r="IF257" s="260"/>
      <c r="IG257" s="260"/>
      <c r="IH257" s="260"/>
      <c r="II257" s="260"/>
      <c r="IJ257" s="260"/>
      <c r="IK257" s="260"/>
      <c r="IL257" s="260"/>
      <c r="IM257" s="260"/>
      <c r="IN257" s="260"/>
      <c r="IO257" s="260"/>
    </row>
    <row r="258" spans="1:249" s="382" customFormat="1" ht="42" customHeight="1" thickBot="1">
      <c r="A258" s="530" t="s">
        <v>219</v>
      </c>
      <c r="B258" s="532" t="s">
        <v>220</v>
      </c>
      <c r="C258" s="544" t="s">
        <v>246</v>
      </c>
      <c r="D258" s="545"/>
      <c r="E258" s="546" t="s">
        <v>221</v>
      </c>
      <c r="F258" s="546"/>
      <c r="G258" s="391"/>
      <c r="H258" s="380"/>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c r="AS258" s="381"/>
      <c r="AT258" s="381"/>
      <c r="AU258" s="381"/>
      <c r="AV258" s="381"/>
      <c r="AW258" s="381"/>
      <c r="AX258" s="381"/>
      <c r="AY258" s="381"/>
      <c r="AZ258" s="381"/>
      <c r="BA258" s="381"/>
      <c r="BB258" s="381"/>
      <c r="BC258" s="381"/>
      <c r="BD258" s="381"/>
      <c r="BE258" s="381"/>
      <c r="BF258" s="381"/>
      <c r="BG258" s="381"/>
      <c r="BH258" s="381"/>
      <c r="BI258" s="381"/>
      <c r="BJ258" s="381"/>
      <c r="BK258" s="381"/>
      <c r="BL258" s="381"/>
      <c r="BM258" s="381"/>
      <c r="BN258" s="381"/>
      <c r="BO258" s="381"/>
      <c r="BP258" s="381"/>
      <c r="BQ258" s="381"/>
      <c r="BR258" s="381"/>
      <c r="BS258" s="381"/>
      <c r="BT258" s="381"/>
      <c r="BU258" s="381"/>
      <c r="BV258" s="381"/>
      <c r="BW258" s="381"/>
      <c r="BX258" s="381"/>
      <c r="BY258" s="381"/>
      <c r="BZ258" s="381"/>
      <c r="CA258" s="381"/>
      <c r="CB258" s="381"/>
      <c r="CC258" s="381"/>
      <c r="CD258" s="381"/>
      <c r="CE258" s="381"/>
      <c r="CF258" s="381"/>
      <c r="CG258" s="381"/>
      <c r="CH258" s="381"/>
      <c r="CI258" s="381"/>
      <c r="CJ258" s="381"/>
      <c r="CK258" s="381"/>
      <c r="CL258" s="381"/>
      <c r="CM258" s="381"/>
      <c r="CN258" s="381"/>
      <c r="CO258" s="381"/>
      <c r="CP258" s="381"/>
      <c r="CQ258" s="381"/>
      <c r="CR258" s="381"/>
      <c r="CS258" s="381"/>
      <c r="CT258" s="381"/>
      <c r="CU258" s="381"/>
      <c r="CV258" s="381"/>
      <c r="CW258" s="381"/>
      <c r="CX258" s="381"/>
      <c r="CY258" s="381"/>
      <c r="CZ258" s="381"/>
      <c r="DA258" s="381"/>
      <c r="DB258" s="381"/>
      <c r="DC258" s="381"/>
      <c r="DD258" s="381"/>
      <c r="DE258" s="381"/>
      <c r="DF258" s="381"/>
      <c r="DG258" s="381"/>
      <c r="DH258" s="381"/>
      <c r="DI258" s="381"/>
      <c r="DJ258" s="381"/>
      <c r="DK258" s="381"/>
      <c r="DL258" s="381"/>
      <c r="DM258" s="381"/>
      <c r="DN258" s="381"/>
      <c r="DO258" s="381"/>
      <c r="DP258" s="381"/>
      <c r="DQ258" s="381"/>
      <c r="DR258" s="381"/>
      <c r="DS258" s="381"/>
      <c r="DT258" s="381"/>
      <c r="DU258" s="381"/>
      <c r="DV258" s="381"/>
      <c r="DW258" s="381"/>
      <c r="DX258" s="381"/>
      <c r="DY258" s="381"/>
      <c r="DZ258" s="381"/>
      <c r="EA258" s="381"/>
      <c r="EB258" s="381"/>
      <c r="EC258" s="381"/>
      <c r="ED258" s="381"/>
      <c r="EE258" s="381"/>
      <c r="EF258" s="381"/>
      <c r="EG258" s="381"/>
      <c r="EH258" s="381"/>
      <c r="EI258" s="381"/>
      <c r="EJ258" s="381"/>
      <c r="EK258" s="381"/>
      <c r="EL258" s="381"/>
      <c r="EM258" s="381"/>
      <c r="EN258" s="381"/>
      <c r="EO258" s="381"/>
      <c r="EP258" s="381"/>
      <c r="EQ258" s="381"/>
      <c r="ER258" s="381"/>
      <c r="ES258" s="381"/>
      <c r="ET258" s="381"/>
      <c r="EU258" s="381"/>
      <c r="EV258" s="381"/>
      <c r="EW258" s="381"/>
      <c r="EX258" s="381"/>
      <c r="EY258" s="381"/>
      <c r="EZ258" s="381"/>
      <c r="FA258" s="381"/>
      <c r="FB258" s="381"/>
      <c r="FC258" s="381"/>
      <c r="FD258" s="381"/>
      <c r="FE258" s="381"/>
      <c r="FF258" s="381"/>
      <c r="FG258" s="381"/>
      <c r="FH258" s="381"/>
      <c r="FI258" s="381"/>
      <c r="FJ258" s="381"/>
      <c r="FK258" s="381"/>
      <c r="FL258" s="381"/>
      <c r="FM258" s="381"/>
      <c r="FN258" s="381"/>
      <c r="FO258" s="381"/>
      <c r="FP258" s="381"/>
      <c r="FQ258" s="381"/>
      <c r="FR258" s="381"/>
      <c r="FS258" s="381"/>
      <c r="FT258" s="381"/>
      <c r="FU258" s="381"/>
      <c r="FV258" s="381"/>
      <c r="FW258" s="381"/>
      <c r="FX258" s="381"/>
      <c r="FY258" s="381"/>
      <c r="FZ258" s="381"/>
      <c r="GA258" s="381"/>
      <c r="GB258" s="381"/>
      <c r="GC258" s="381"/>
      <c r="GD258" s="381"/>
      <c r="GE258" s="381"/>
      <c r="GF258" s="381"/>
      <c r="GG258" s="381"/>
      <c r="GH258" s="381"/>
      <c r="GI258" s="381"/>
      <c r="GJ258" s="381"/>
      <c r="GK258" s="381"/>
      <c r="GL258" s="381"/>
      <c r="GM258" s="381"/>
      <c r="GN258" s="381"/>
      <c r="GO258" s="381"/>
      <c r="GP258" s="381"/>
      <c r="GQ258" s="381"/>
      <c r="GR258" s="381"/>
      <c r="GS258" s="381"/>
      <c r="GT258" s="381"/>
      <c r="GU258" s="381"/>
      <c r="GV258" s="381"/>
      <c r="GW258" s="381"/>
      <c r="GX258" s="381"/>
      <c r="GY258" s="381"/>
      <c r="GZ258" s="381"/>
      <c r="HA258" s="381"/>
      <c r="HB258" s="381"/>
      <c r="HC258" s="381"/>
      <c r="HD258" s="381"/>
      <c r="HE258" s="381"/>
      <c r="HF258" s="381"/>
      <c r="HG258" s="381"/>
      <c r="HH258" s="381"/>
      <c r="HI258" s="381"/>
      <c r="HJ258" s="381"/>
      <c r="HK258" s="381"/>
      <c r="HL258" s="381"/>
      <c r="HM258" s="381"/>
      <c r="HN258" s="381"/>
      <c r="HO258" s="381"/>
      <c r="HP258" s="381"/>
      <c r="HQ258" s="381"/>
      <c r="HR258" s="381"/>
      <c r="HS258" s="381"/>
      <c r="HT258" s="381"/>
      <c r="HU258" s="381"/>
      <c r="HV258" s="381"/>
      <c r="HW258" s="381"/>
      <c r="HX258" s="381"/>
      <c r="HY258" s="381"/>
      <c r="HZ258" s="381"/>
      <c r="IA258" s="381"/>
      <c r="IB258" s="381"/>
      <c r="IC258" s="381"/>
      <c r="ID258" s="381"/>
      <c r="IE258" s="381"/>
      <c r="IF258" s="381"/>
      <c r="IG258" s="381"/>
      <c r="IH258" s="381"/>
      <c r="II258" s="381"/>
      <c r="IJ258" s="381"/>
      <c r="IK258" s="381"/>
      <c r="IL258" s="381"/>
      <c r="IM258" s="381"/>
      <c r="IN258" s="381"/>
      <c r="IO258" s="381"/>
    </row>
    <row r="259" spans="1:249" s="382" customFormat="1" ht="20" customHeight="1">
      <c r="A259" s="531"/>
      <c r="B259" s="533"/>
      <c r="C259" s="547" t="s">
        <v>222</v>
      </c>
      <c r="D259" s="549" t="s">
        <v>223</v>
      </c>
      <c r="E259" s="551" t="s">
        <v>610</v>
      </c>
      <c r="F259" s="553" t="s">
        <v>611</v>
      </c>
      <c r="G259" s="555"/>
      <c r="H259" s="380"/>
      <c r="I259" s="381"/>
      <c r="J259" s="381"/>
      <c r="K259" s="381"/>
      <c r="L259" s="381"/>
      <c r="M259" s="381"/>
      <c r="N259" s="381"/>
      <c r="O259" s="381"/>
      <c r="P259" s="381"/>
      <c r="Q259" s="381"/>
      <c r="R259" s="381"/>
      <c r="S259" s="381"/>
      <c r="T259" s="381"/>
      <c r="U259" s="381"/>
      <c r="V259" s="381"/>
      <c r="W259" s="381"/>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c r="AS259" s="381"/>
      <c r="AT259" s="381"/>
      <c r="AU259" s="381"/>
      <c r="AV259" s="381"/>
      <c r="AW259" s="381"/>
      <c r="AX259" s="381"/>
      <c r="AY259" s="381"/>
      <c r="AZ259" s="381"/>
      <c r="BA259" s="381"/>
      <c r="BB259" s="381"/>
      <c r="BC259" s="381"/>
      <c r="BD259" s="381"/>
      <c r="BE259" s="381"/>
      <c r="BF259" s="381"/>
      <c r="BG259" s="381"/>
      <c r="BH259" s="381"/>
      <c r="BI259" s="381"/>
      <c r="BJ259" s="381"/>
      <c r="BK259" s="381"/>
      <c r="BL259" s="381"/>
      <c r="BM259" s="381"/>
      <c r="BN259" s="381"/>
      <c r="BO259" s="381"/>
      <c r="BP259" s="381"/>
      <c r="BQ259" s="381"/>
      <c r="BR259" s="381"/>
      <c r="BS259" s="381"/>
      <c r="BT259" s="381"/>
      <c r="BU259" s="381"/>
      <c r="BV259" s="381"/>
      <c r="BW259" s="381"/>
      <c r="BX259" s="381"/>
      <c r="BY259" s="381"/>
      <c r="BZ259" s="381"/>
      <c r="CA259" s="381"/>
      <c r="CB259" s="381"/>
      <c r="CC259" s="381"/>
      <c r="CD259" s="381"/>
      <c r="CE259" s="381"/>
      <c r="CF259" s="381"/>
      <c r="CG259" s="381"/>
      <c r="CH259" s="381"/>
      <c r="CI259" s="381"/>
      <c r="CJ259" s="381"/>
      <c r="CK259" s="381"/>
      <c r="CL259" s="381"/>
      <c r="CM259" s="381"/>
      <c r="CN259" s="381"/>
      <c r="CO259" s="381"/>
      <c r="CP259" s="381"/>
      <c r="CQ259" s="381"/>
      <c r="CR259" s="381"/>
      <c r="CS259" s="381"/>
      <c r="CT259" s="381"/>
      <c r="CU259" s="381"/>
      <c r="CV259" s="381"/>
      <c r="CW259" s="381"/>
      <c r="CX259" s="381"/>
      <c r="CY259" s="381"/>
      <c r="CZ259" s="381"/>
      <c r="DA259" s="381"/>
      <c r="DB259" s="381"/>
      <c r="DC259" s="381"/>
      <c r="DD259" s="381"/>
      <c r="DE259" s="381"/>
      <c r="DF259" s="381"/>
      <c r="DG259" s="381"/>
      <c r="DH259" s="381"/>
      <c r="DI259" s="381"/>
      <c r="DJ259" s="381"/>
      <c r="DK259" s="381"/>
      <c r="DL259" s="381"/>
      <c r="DM259" s="381"/>
      <c r="DN259" s="381"/>
      <c r="DO259" s="381"/>
      <c r="DP259" s="381"/>
      <c r="DQ259" s="381"/>
      <c r="DR259" s="381"/>
      <c r="DS259" s="381"/>
      <c r="DT259" s="381"/>
      <c r="DU259" s="381"/>
      <c r="DV259" s="381"/>
      <c r="DW259" s="381"/>
      <c r="DX259" s="381"/>
      <c r="DY259" s="381"/>
      <c r="DZ259" s="381"/>
      <c r="EA259" s="381"/>
      <c r="EB259" s="381"/>
      <c r="EC259" s="381"/>
      <c r="ED259" s="381"/>
      <c r="EE259" s="381"/>
      <c r="EF259" s="381"/>
      <c r="EG259" s="381"/>
      <c r="EH259" s="381"/>
      <c r="EI259" s="381"/>
      <c r="EJ259" s="381"/>
      <c r="EK259" s="381"/>
      <c r="EL259" s="381"/>
      <c r="EM259" s="381"/>
      <c r="EN259" s="381"/>
      <c r="EO259" s="381"/>
      <c r="EP259" s="381"/>
      <c r="EQ259" s="381"/>
      <c r="ER259" s="381"/>
      <c r="ES259" s="381"/>
      <c r="ET259" s="381"/>
      <c r="EU259" s="381"/>
      <c r="EV259" s="381"/>
      <c r="EW259" s="381"/>
      <c r="EX259" s="381"/>
      <c r="EY259" s="381"/>
      <c r="EZ259" s="381"/>
      <c r="FA259" s="381"/>
      <c r="FB259" s="381"/>
      <c r="FC259" s="381"/>
      <c r="FD259" s="381"/>
      <c r="FE259" s="381"/>
      <c r="FF259" s="381"/>
      <c r="FG259" s="381"/>
      <c r="FH259" s="381"/>
      <c r="FI259" s="381"/>
      <c r="FJ259" s="381"/>
      <c r="FK259" s="381"/>
      <c r="FL259" s="381"/>
      <c r="FM259" s="381"/>
      <c r="FN259" s="381"/>
      <c r="FO259" s="381"/>
      <c r="FP259" s="381"/>
      <c r="FQ259" s="381"/>
      <c r="FR259" s="381"/>
      <c r="FS259" s="381"/>
      <c r="FT259" s="381"/>
      <c r="FU259" s="381"/>
      <c r="FV259" s="381"/>
      <c r="FW259" s="381"/>
      <c r="FX259" s="381"/>
      <c r="FY259" s="381"/>
      <c r="FZ259" s="381"/>
      <c r="GA259" s="381"/>
      <c r="GB259" s="381"/>
      <c r="GC259" s="381"/>
      <c r="GD259" s="381"/>
      <c r="GE259" s="381"/>
      <c r="GF259" s="381"/>
      <c r="GG259" s="381"/>
      <c r="GH259" s="381"/>
      <c r="GI259" s="381"/>
      <c r="GJ259" s="381"/>
      <c r="GK259" s="381"/>
      <c r="GL259" s="381"/>
      <c r="GM259" s="381"/>
      <c r="GN259" s="381"/>
      <c r="GO259" s="381"/>
      <c r="GP259" s="381"/>
      <c r="GQ259" s="381"/>
      <c r="GR259" s="381"/>
      <c r="GS259" s="381"/>
      <c r="GT259" s="381"/>
      <c r="GU259" s="381"/>
      <c r="GV259" s="381"/>
      <c r="GW259" s="381"/>
      <c r="GX259" s="381"/>
      <c r="GY259" s="381"/>
      <c r="GZ259" s="381"/>
      <c r="HA259" s="381"/>
      <c r="HB259" s="381"/>
      <c r="HC259" s="381"/>
      <c r="HD259" s="381"/>
      <c r="HE259" s="381"/>
      <c r="HF259" s="381"/>
      <c r="HG259" s="381"/>
      <c r="HH259" s="381"/>
      <c r="HI259" s="381"/>
      <c r="HJ259" s="381"/>
      <c r="HK259" s="381"/>
      <c r="HL259" s="381"/>
      <c r="HM259" s="381"/>
      <c r="HN259" s="381"/>
      <c r="HO259" s="381"/>
      <c r="HP259" s="381"/>
      <c r="HQ259" s="381"/>
      <c r="HR259" s="381"/>
      <c r="HS259" s="381"/>
      <c r="HT259" s="381"/>
      <c r="HU259" s="381"/>
      <c r="HV259" s="381"/>
      <c r="HW259" s="381"/>
      <c r="HX259" s="381"/>
      <c r="HY259" s="381"/>
      <c r="HZ259" s="381"/>
      <c r="IA259" s="381"/>
      <c r="IB259" s="381"/>
      <c r="IC259" s="381"/>
      <c r="ID259" s="381"/>
      <c r="IE259" s="381"/>
      <c r="IF259" s="381"/>
      <c r="IG259" s="381"/>
      <c r="IH259" s="381"/>
      <c r="II259" s="381"/>
      <c r="IJ259" s="381"/>
      <c r="IK259" s="381"/>
      <c r="IL259" s="381"/>
      <c r="IM259" s="381"/>
      <c r="IN259" s="381"/>
      <c r="IO259" s="381"/>
    </row>
    <row r="260" spans="1:249" s="382" customFormat="1" ht="17.399999999999999" customHeight="1" thickBot="1">
      <c r="A260" s="557" t="s">
        <v>224</v>
      </c>
      <c r="B260" s="557"/>
      <c r="C260" s="548"/>
      <c r="D260" s="550"/>
      <c r="E260" s="552"/>
      <c r="F260" s="554"/>
      <c r="G260" s="556"/>
      <c r="H260" s="380"/>
      <c r="I260" s="381"/>
      <c r="J260" s="381"/>
      <c r="K260" s="381"/>
      <c r="L260" s="381"/>
      <c r="M260" s="381"/>
      <c r="N260" s="381"/>
      <c r="O260" s="381"/>
      <c r="P260" s="381"/>
      <c r="Q260" s="381"/>
      <c r="R260" s="381"/>
      <c r="S260" s="381"/>
      <c r="T260" s="381"/>
      <c r="U260" s="381"/>
      <c r="V260" s="381"/>
      <c r="W260" s="381"/>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c r="AS260" s="381"/>
      <c r="AT260" s="381"/>
      <c r="AU260" s="381"/>
      <c r="AV260" s="381"/>
      <c r="AW260" s="381"/>
      <c r="AX260" s="381"/>
      <c r="AY260" s="381"/>
      <c r="AZ260" s="381"/>
      <c r="BA260" s="381"/>
      <c r="BB260" s="381"/>
      <c r="BC260" s="381"/>
      <c r="BD260" s="381"/>
      <c r="BE260" s="381"/>
      <c r="BF260" s="381"/>
      <c r="BG260" s="381"/>
      <c r="BH260" s="381"/>
      <c r="BI260" s="381"/>
      <c r="BJ260" s="381"/>
      <c r="BK260" s="381"/>
      <c r="BL260" s="381"/>
      <c r="BM260" s="381"/>
      <c r="BN260" s="381"/>
      <c r="BO260" s="381"/>
      <c r="BP260" s="381"/>
      <c r="BQ260" s="381"/>
      <c r="BR260" s="381"/>
      <c r="BS260" s="381"/>
      <c r="BT260" s="381"/>
      <c r="BU260" s="381"/>
      <c r="BV260" s="381"/>
      <c r="BW260" s="381"/>
      <c r="BX260" s="381"/>
      <c r="BY260" s="381"/>
      <c r="BZ260" s="381"/>
      <c r="CA260" s="381"/>
      <c r="CB260" s="381"/>
      <c r="CC260" s="381"/>
      <c r="CD260" s="381"/>
      <c r="CE260" s="381"/>
      <c r="CF260" s="381"/>
      <c r="CG260" s="381"/>
      <c r="CH260" s="381"/>
      <c r="CI260" s="381"/>
      <c r="CJ260" s="381"/>
      <c r="CK260" s="381"/>
      <c r="CL260" s="381"/>
      <c r="CM260" s="381"/>
      <c r="CN260" s="381"/>
      <c r="CO260" s="381"/>
      <c r="CP260" s="381"/>
      <c r="CQ260" s="381"/>
      <c r="CR260" s="381"/>
      <c r="CS260" s="381"/>
      <c r="CT260" s="381"/>
      <c r="CU260" s="381"/>
      <c r="CV260" s="381"/>
      <c r="CW260" s="381"/>
      <c r="CX260" s="381"/>
      <c r="CY260" s="381"/>
      <c r="CZ260" s="381"/>
      <c r="DA260" s="381"/>
      <c r="DB260" s="381"/>
      <c r="DC260" s="381"/>
      <c r="DD260" s="381"/>
      <c r="DE260" s="381"/>
      <c r="DF260" s="381"/>
      <c r="DG260" s="381"/>
      <c r="DH260" s="381"/>
      <c r="DI260" s="381"/>
      <c r="DJ260" s="381"/>
      <c r="DK260" s="381"/>
      <c r="DL260" s="381"/>
      <c r="DM260" s="381"/>
      <c r="DN260" s="381"/>
      <c r="DO260" s="381"/>
      <c r="DP260" s="381"/>
      <c r="DQ260" s="381"/>
      <c r="DR260" s="381"/>
      <c r="DS260" s="381"/>
      <c r="DT260" s="381"/>
      <c r="DU260" s="381"/>
      <c r="DV260" s="381"/>
      <c r="DW260" s="381"/>
      <c r="DX260" s="381"/>
      <c r="DY260" s="381"/>
      <c r="DZ260" s="381"/>
      <c r="EA260" s="381"/>
      <c r="EB260" s="381"/>
      <c r="EC260" s="381"/>
      <c r="ED260" s="381"/>
      <c r="EE260" s="381"/>
      <c r="EF260" s="381"/>
      <c r="EG260" s="381"/>
      <c r="EH260" s="381"/>
      <c r="EI260" s="381"/>
      <c r="EJ260" s="381"/>
      <c r="EK260" s="381"/>
      <c r="EL260" s="381"/>
      <c r="EM260" s="381"/>
      <c r="EN260" s="381"/>
      <c r="EO260" s="381"/>
      <c r="EP260" s="381"/>
      <c r="EQ260" s="381"/>
      <c r="ER260" s="381"/>
      <c r="ES260" s="381"/>
      <c r="ET260" s="381"/>
      <c r="EU260" s="381"/>
      <c r="EV260" s="381"/>
      <c r="EW260" s="381"/>
      <c r="EX260" s="381"/>
      <c r="EY260" s="381"/>
      <c r="EZ260" s="381"/>
      <c r="FA260" s="381"/>
      <c r="FB260" s="381"/>
      <c r="FC260" s="381"/>
      <c r="FD260" s="381"/>
      <c r="FE260" s="381"/>
      <c r="FF260" s="381"/>
      <c r="FG260" s="381"/>
      <c r="FH260" s="381"/>
      <c r="FI260" s="381"/>
      <c r="FJ260" s="381"/>
      <c r="FK260" s="381"/>
      <c r="FL260" s="381"/>
      <c r="FM260" s="381"/>
      <c r="FN260" s="381"/>
      <c r="FO260" s="381"/>
      <c r="FP260" s="381"/>
      <c r="FQ260" s="381"/>
      <c r="FR260" s="381"/>
      <c r="FS260" s="381"/>
      <c r="FT260" s="381"/>
      <c r="FU260" s="381"/>
      <c r="FV260" s="381"/>
      <c r="FW260" s="381"/>
      <c r="FX260" s="381"/>
      <c r="FY260" s="381"/>
      <c r="FZ260" s="381"/>
      <c r="GA260" s="381"/>
      <c r="GB260" s="381"/>
      <c r="GC260" s="381"/>
      <c r="GD260" s="381"/>
      <c r="GE260" s="381"/>
      <c r="GF260" s="381"/>
      <c r="GG260" s="381"/>
      <c r="GH260" s="381"/>
      <c r="GI260" s="381"/>
      <c r="GJ260" s="381"/>
      <c r="GK260" s="381"/>
      <c r="GL260" s="381"/>
      <c r="GM260" s="381"/>
      <c r="GN260" s="381"/>
      <c r="GO260" s="381"/>
      <c r="GP260" s="381"/>
      <c r="GQ260" s="381"/>
      <c r="GR260" s="381"/>
      <c r="GS260" s="381"/>
      <c r="GT260" s="381"/>
      <c r="GU260" s="381"/>
      <c r="GV260" s="381"/>
      <c r="GW260" s="381"/>
      <c r="GX260" s="381"/>
      <c r="GY260" s="381"/>
      <c r="GZ260" s="381"/>
      <c r="HA260" s="381"/>
      <c r="HB260" s="381"/>
      <c r="HC260" s="381"/>
      <c r="HD260" s="381"/>
      <c r="HE260" s="381"/>
      <c r="HF260" s="381"/>
      <c r="HG260" s="381"/>
      <c r="HH260" s="381"/>
      <c r="HI260" s="381"/>
      <c r="HJ260" s="381"/>
      <c r="HK260" s="381"/>
      <c r="HL260" s="381"/>
      <c r="HM260" s="381"/>
      <c r="HN260" s="381"/>
      <c r="HO260" s="381"/>
      <c r="HP260" s="381"/>
      <c r="HQ260" s="381"/>
      <c r="HR260" s="381"/>
      <c r="HS260" s="381"/>
      <c r="HT260" s="381"/>
      <c r="HU260" s="381"/>
      <c r="HV260" s="381"/>
      <c r="HW260" s="381"/>
      <c r="HX260" s="381"/>
      <c r="HY260" s="381"/>
      <c r="HZ260" s="381"/>
      <c r="IA260" s="381"/>
      <c r="IB260" s="381"/>
      <c r="IC260" s="381"/>
      <c r="ID260" s="381"/>
      <c r="IE260" s="381"/>
      <c r="IF260" s="381"/>
      <c r="IG260" s="381"/>
      <c r="IH260" s="381"/>
      <c r="II260" s="381"/>
      <c r="IJ260" s="381"/>
      <c r="IK260" s="381"/>
      <c r="IL260" s="381"/>
      <c r="IM260" s="381"/>
      <c r="IN260" s="381"/>
      <c r="IO260" s="381"/>
    </row>
    <row r="261" spans="1:249" s="260" customFormat="1" ht="71.25" customHeight="1">
      <c r="A261" s="311" t="s">
        <v>241</v>
      </c>
      <c r="B261" s="322" t="s">
        <v>520</v>
      </c>
      <c r="C261" s="309" t="s">
        <v>227</v>
      </c>
      <c r="D261" s="329">
        <v>22</v>
      </c>
      <c r="E261" s="285"/>
      <c r="F261" s="253">
        <f t="shared" ref="F261:F293" si="28">E261*D261</f>
        <v>0</v>
      </c>
      <c r="G261" s="294"/>
      <c r="H261" s="305"/>
    </row>
    <row r="262" spans="1:249" s="260" customFormat="1" ht="75" customHeight="1">
      <c r="A262" s="311" t="s">
        <v>242</v>
      </c>
      <c r="B262" s="322" t="s">
        <v>521</v>
      </c>
      <c r="C262" s="309" t="s">
        <v>266</v>
      </c>
      <c r="D262" s="257">
        <v>3100</v>
      </c>
      <c r="E262" s="285"/>
      <c r="F262" s="253">
        <f t="shared" si="28"/>
        <v>0</v>
      </c>
      <c r="G262" s="294"/>
      <c r="H262" s="305"/>
    </row>
    <row r="263" spans="1:249" s="260" customFormat="1">
      <c r="A263" s="311" t="s">
        <v>249</v>
      </c>
      <c r="B263" s="312" t="s">
        <v>274</v>
      </c>
      <c r="C263" s="309"/>
      <c r="D263" s="329"/>
      <c r="E263" s="245"/>
      <c r="F263" s="253">
        <f t="shared" si="28"/>
        <v>0</v>
      </c>
      <c r="G263" s="294"/>
      <c r="H263" s="305"/>
    </row>
    <row r="264" spans="1:249" s="260" customFormat="1" ht="102" customHeight="1">
      <c r="A264" s="314" t="s">
        <v>364</v>
      </c>
      <c r="B264" s="315" t="s">
        <v>522</v>
      </c>
      <c r="C264" s="309" t="s">
        <v>229</v>
      </c>
      <c r="D264" s="257">
        <f>18*D266</f>
        <v>2700</v>
      </c>
      <c r="E264" s="278"/>
      <c r="F264" s="253">
        <f t="shared" si="28"/>
        <v>0</v>
      </c>
      <c r="G264" s="294"/>
      <c r="H264" s="305"/>
    </row>
    <row r="265" spans="1:249" s="260" customFormat="1" ht="100.5" customHeight="1">
      <c r="A265" s="314" t="s">
        <v>365</v>
      </c>
      <c r="B265" s="315" t="s">
        <v>523</v>
      </c>
      <c r="C265" s="309" t="s">
        <v>229</v>
      </c>
      <c r="D265" s="257">
        <f>16*D267</f>
        <v>10592</v>
      </c>
      <c r="E265" s="278"/>
      <c r="F265" s="253">
        <f t="shared" si="28"/>
        <v>0</v>
      </c>
      <c r="G265" s="294"/>
      <c r="H265" s="305"/>
    </row>
    <row r="266" spans="1:249" s="260" customFormat="1" ht="99.75" customHeight="1">
      <c r="A266" s="314" t="s">
        <v>366</v>
      </c>
      <c r="B266" s="315" t="s">
        <v>524</v>
      </c>
      <c r="C266" s="309" t="s">
        <v>229</v>
      </c>
      <c r="D266" s="257">
        <v>150</v>
      </c>
      <c r="E266" s="278"/>
      <c r="F266" s="253">
        <f t="shared" si="28"/>
        <v>0</v>
      </c>
      <c r="G266" s="294"/>
      <c r="H266" s="305"/>
    </row>
    <row r="267" spans="1:249" s="260" customFormat="1" ht="96.75" customHeight="1">
      <c r="A267" s="314" t="s">
        <v>367</v>
      </c>
      <c r="B267" s="315" t="s">
        <v>525</v>
      </c>
      <c r="C267" s="309" t="s">
        <v>229</v>
      </c>
      <c r="D267" s="257">
        <v>662</v>
      </c>
      <c r="E267" s="278"/>
      <c r="F267" s="253">
        <f t="shared" si="28"/>
        <v>0</v>
      </c>
      <c r="G267" s="294"/>
      <c r="H267" s="305"/>
    </row>
    <row r="268" spans="1:249" s="260" customFormat="1" ht="104">
      <c r="A268" s="314" t="s">
        <v>368</v>
      </c>
      <c r="B268" s="315" t="s">
        <v>577</v>
      </c>
      <c r="C268" s="309" t="s">
        <v>229</v>
      </c>
      <c r="D268" s="257">
        <f t="shared" ref="D268" si="29">8700+31776</f>
        <v>40476</v>
      </c>
      <c r="E268" s="278"/>
      <c r="F268" s="253">
        <f t="shared" si="28"/>
        <v>0</v>
      </c>
      <c r="G268" s="294"/>
      <c r="H268" s="305"/>
    </row>
    <row r="269" spans="1:249" s="260" customFormat="1" ht="35.25" customHeight="1">
      <c r="A269" s="311" t="s">
        <v>250</v>
      </c>
      <c r="B269" s="316" t="s">
        <v>263</v>
      </c>
      <c r="C269" s="383"/>
      <c r="D269" s="257"/>
      <c r="E269" s="245"/>
      <c r="F269" s="253">
        <f t="shared" si="28"/>
        <v>0</v>
      </c>
      <c r="G269" s="294"/>
      <c r="H269" s="305"/>
    </row>
    <row r="270" spans="1:249" s="260" customFormat="1" ht="108" customHeight="1">
      <c r="A270" s="314" t="s">
        <v>369</v>
      </c>
      <c r="B270" s="315" t="s">
        <v>526</v>
      </c>
      <c r="C270" s="309" t="s">
        <v>229</v>
      </c>
      <c r="D270" s="288">
        <v>2</v>
      </c>
      <c r="E270" s="289"/>
      <c r="F270" s="253">
        <f t="shared" si="28"/>
        <v>0</v>
      </c>
      <c r="G270" s="294"/>
      <c r="H270" s="305"/>
    </row>
    <row r="271" spans="1:249" s="260" customFormat="1" ht="91.5" customHeight="1">
      <c r="A271" s="314" t="s">
        <v>370</v>
      </c>
      <c r="B271" s="315" t="s">
        <v>527</v>
      </c>
      <c r="C271" s="309" t="s">
        <v>229</v>
      </c>
      <c r="D271" s="289">
        <f>48+3</f>
        <v>51</v>
      </c>
      <c r="E271" s="285"/>
      <c r="F271" s="253">
        <f t="shared" si="28"/>
        <v>0</v>
      </c>
      <c r="G271" s="294"/>
      <c r="H271" s="305"/>
    </row>
    <row r="272" spans="1:249" s="260" customFormat="1" ht="18.75" customHeight="1">
      <c r="A272" s="311" t="s">
        <v>251</v>
      </c>
      <c r="B272" s="312" t="s">
        <v>279</v>
      </c>
      <c r="C272" s="383"/>
      <c r="D272" s="329"/>
      <c r="E272" s="245"/>
      <c r="F272" s="253">
        <f t="shared" si="28"/>
        <v>0</v>
      </c>
      <c r="G272" s="294"/>
      <c r="H272" s="305"/>
    </row>
    <row r="273" spans="1:8" s="260" customFormat="1" ht="74.25" customHeight="1">
      <c r="A273" s="314" t="s">
        <v>371</v>
      </c>
      <c r="B273" s="315" t="s">
        <v>409</v>
      </c>
      <c r="C273" s="309" t="s">
        <v>229</v>
      </c>
      <c r="D273" s="286">
        <v>2</v>
      </c>
      <c r="E273" s="285"/>
      <c r="F273" s="253">
        <f t="shared" si="28"/>
        <v>0</v>
      </c>
      <c r="G273" s="294"/>
      <c r="H273" s="305"/>
    </row>
    <row r="274" spans="1:8" s="260" customFormat="1">
      <c r="A274" s="314" t="s">
        <v>372</v>
      </c>
      <c r="B274" s="315" t="s">
        <v>291</v>
      </c>
      <c r="C274" s="309" t="s">
        <v>229</v>
      </c>
      <c r="D274" s="289">
        <f>48+3</f>
        <v>51</v>
      </c>
      <c r="E274" s="285"/>
      <c r="F274" s="253">
        <f t="shared" si="28"/>
        <v>0</v>
      </c>
      <c r="G274" s="294"/>
      <c r="H274" s="305"/>
    </row>
    <row r="275" spans="1:8" s="260" customFormat="1" ht="109.25" customHeight="1">
      <c r="A275" s="314" t="s">
        <v>277</v>
      </c>
      <c r="B275" s="322" t="s">
        <v>528</v>
      </c>
      <c r="C275" s="309" t="s">
        <v>228</v>
      </c>
      <c r="D275" s="297">
        <v>99</v>
      </c>
      <c r="E275" s="296"/>
      <c r="F275" s="253">
        <f t="shared" si="28"/>
        <v>0</v>
      </c>
      <c r="G275" s="294"/>
      <c r="H275" s="305"/>
    </row>
    <row r="276" spans="1:8" s="260" customFormat="1" ht="27.65" customHeight="1">
      <c r="A276" s="311" t="s">
        <v>580</v>
      </c>
      <c r="B276" s="312" t="s">
        <v>297</v>
      </c>
      <c r="C276" s="309" t="s">
        <v>228</v>
      </c>
      <c r="D276" s="297">
        <f t="shared" ref="D276" si="30">3276/78*15</f>
        <v>630</v>
      </c>
      <c r="E276" s="296"/>
      <c r="F276" s="253">
        <f t="shared" si="28"/>
        <v>0</v>
      </c>
      <c r="G276" s="294"/>
      <c r="H276" s="305"/>
    </row>
    <row r="277" spans="1:8" s="260" customFormat="1" ht="30" customHeight="1">
      <c r="A277" s="311" t="s">
        <v>276</v>
      </c>
      <c r="B277" s="312" t="s">
        <v>529</v>
      </c>
      <c r="C277" s="309" t="s">
        <v>230</v>
      </c>
      <c r="D277" s="298">
        <f t="shared" ref="D277" si="31">22.7/115.6*15</f>
        <v>2.9455017301038064</v>
      </c>
      <c r="E277" s="296"/>
      <c r="F277" s="253">
        <f t="shared" si="28"/>
        <v>0</v>
      </c>
      <c r="G277" s="294"/>
      <c r="H277" s="305"/>
    </row>
    <row r="278" spans="1:8" s="260" customFormat="1" ht="62.25" customHeight="1">
      <c r="A278" s="311" t="s">
        <v>267</v>
      </c>
      <c r="B278" s="317" t="s">
        <v>530</v>
      </c>
      <c r="C278" s="310" t="s">
        <v>230</v>
      </c>
      <c r="D278" s="276">
        <f t="shared" ref="D278" si="32">56.1/115.6*15</f>
        <v>7.2794117647058831</v>
      </c>
      <c r="E278" s="285"/>
      <c r="F278" s="253">
        <f t="shared" si="28"/>
        <v>0</v>
      </c>
      <c r="G278" s="294"/>
      <c r="H278" s="305"/>
    </row>
    <row r="279" spans="1:8" s="260" customFormat="1" ht="33.75" customHeight="1">
      <c r="A279" s="311" t="s">
        <v>252</v>
      </c>
      <c r="B279" s="312" t="s">
        <v>531</v>
      </c>
      <c r="C279" s="309" t="s">
        <v>230</v>
      </c>
      <c r="D279" s="287">
        <f t="shared" ref="D279" si="33">22.7/115.6*15</f>
        <v>2.9455017301038064</v>
      </c>
      <c r="E279" s="285"/>
      <c r="F279" s="253">
        <f t="shared" si="28"/>
        <v>0</v>
      </c>
      <c r="G279" s="294"/>
      <c r="H279" s="305"/>
    </row>
    <row r="280" spans="1:8" s="385" customFormat="1" ht="59.25" customHeight="1">
      <c r="A280" s="311" t="s">
        <v>253</v>
      </c>
      <c r="B280" s="317" t="s">
        <v>532</v>
      </c>
      <c r="C280" s="309" t="s">
        <v>230</v>
      </c>
      <c r="D280" s="275">
        <f t="shared" ref="D280" si="34">75/16*2</f>
        <v>9.375</v>
      </c>
      <c r="E280" s="285"/>
      <c r="F280" s="253">
        <f t="shared" si="28"/>
        <v>0</v>
      </c>
      <c r="G280" s="294"/>
      <c r="H280" s="384"/>
    </row>
    <row r="281" spans="1:8" s="385" customFormat="1" ht="50.25" customHeight="1">
      <c r="A281" s="311" t="s">
        <v>373</v>
      </c>
      <c r="B281" s="312" t="s">
        <v>327</v>
      </c>
      <c r="C281" s="309" t="s">
        <v>230</v>
      </c>
      <c r="D281" s="276">
        <f t="shared" ref="D281" si="35">12/115.6*15</f>
        <v>1.5570934256055364</v>
      </c>
      <c r="E281" s="285"/>
      <c r="F281" s="253">
        <f t="shared" si="28"/>
        <v>0</v>
      </c>
      <c r="G281" s="294"/>
      <c r="H281" s="384"/>
    </row>
    <row r="282" spans="1:8" s="385" customFormat="1" ht="58.5" customHeight="1">
      <c r="A282" s="311" t="s">
        <v>254</v>
      </c>
      <c r="B282" s="312" t="s">
        <v>533</v>
      </c>
      <c r="C282" s="309" t="s">
        <v>230</v>
      </c>
      <c r="D282" s="276">
        <f t="shared" ref="D282" si="36">15/16*2</f>
        <v>1.875</v>
      </c>
      <c r="E282" s="285"/>
      <c r="F282" s="253">
        <f t="shared" si="28"/>
        <v>0</v>
      </c>
      <c r="G282" s="294"/>
      <c r="H282" s="384"/>
    </row>
    <row r="283" spans="1:8" s="260" customFormat="1">
      <c r="A283" s="311" t="s">
        <v>248</v>
      </c>
      <c r="B283" s="312" t="s">
        <v>231</v>
      </c>
      <c r="C283" s="309"/>
      <c r="D283" s="329"/>
      <c r="E283" s="245"/>
      <c r="F283" s="253">
        <f t="shared" si="28"/>
        <v>0</v>
      </c>
      <c r="G283" s="294"/>
      <c r="H283" s="305"/>
    </row>
    <row r="284" spans="1:8" s="260" customFormat="1" ht="93.75" customHeight="1">
      <c r="A284" s="314" t="s">
        <v>264</v>
      </c>
      <c r="B284" s="315" t="s">
        <v>534</v>
      </c>
      <c r="C284" s="309" t="s">
        <v>230</v>
      </c>
      <c r="D284" s="270">
        <v>86</v>
      </c>
      <c r="E284" s="290"/>
      <c r="F284" s="253">
        <f t="shared" si="28"/>
        <v>0</v>
      </c>
      <c r="G284" s="294"/>
      <c r="H284" s="305"/>
    </row>
    <row r="285" spans="1:8" s="260" customFormat="1" ht="90" customHeight="1">
      <c r="A285" s="314" t="s">
        <v>265</v>
      </c>
      <c r="B285" s="315" t="s">
        <v>535</v>
      </c>
      <c r="C285" s="309" t="s">
        <v>230</v>
      </c>
      <c r="D285" s="270">
        <v>41</v>
      </c>
      <c r="E285" s="290"/>
      <c r="F285" s="253">
        <f t="shared" si="28"/>
        <v>0</v>
      </c>
      <c r="G285" s="294"/>
      <c r="H285" s="305"/>
    </row>
    <row r="286" spans="1:8" s="260" customFormat="1" ht="87" customHeight="1">
      <c r="A286" s="314" t="s">
        <v>338</v>
      </c>
      <c r="B286" s="315" t="s">
        <v>536</v>
      </c>
      <c r="C286" s="309" t="s">
        <v>230</v>
      </c>
      <c r="D286" s="329">
        <v>7.8</v>
      </c>
      <c r="E286" s="290"/>
      <c r="F286" s="253">
        <f t="shared" si="28"/>
        <v>0</v>
      </c>
      <c r="G286" s="294"/>
      <c r="H286" s="305"/>
    </row>
    <row r="287" spans="1:8" s="260" customFormat="1" ht="84.75" customHeight="1">
      <c r="A287" s="314" t="s">
        <v>339</v>
      </c>
      <c r="B287" s="315" t="s">
        <v>537</v>
      </c>
      <c r="C287" s="309" t="s">
        <v>230</v>
      </c>
      <c r="D287" s="329">
        <v>1.6</v>
      </c>
      <c r="E287" s="290"/>
      <c r="F287" s="253">
        <f t="shared" si="28"/>
        <v>0</v>
      </c>
      <c r="G287" s="294"/>
      <c r="H287" s="305"/>
    </row>
    <row r="288" spans="1:8" s="260" customFormat="1" ht="34.5" customHeight="1">
      <c r="A288" s="314" t="s">
        <v>340</v>
      </c>
      <c r="B288" s="315" t="s">
        <v>538</v>
      </c>
      <c r="C288" s="309" t="s">
        <v>230</v>
      </c>
      <c r="D288" s="329">
        <v>15.6</v>
      </c>
      <c r="E288" s="290"/>
      <c r="F288" s="253">
        <f t="shared" si="28"/>
        <v>0</v>
      </c>
      <c r="G288" s="294"/>
      <c r="H288" s="305"/>
    </row>
    <row r="289" spans="1:8" s="260" customFormat="1" ht="32.25" customHeight="1">
      <c r="A289" s="314" t="s">
        <v>342</v>
      </c>
      <c r="B289" s="315" t="s">
        <v>539</v>
      </c>
      <c r="C289" s="309" t="s">
        <v>230</v>
      </c>
      <c r="D289" s="269">
        <f t="shared" ref="D289" si="37">5/115.6*15</f>
        <v>0.6487889273356402</v>
      </c>
      <c r="E289" s="290"/>
      <c r="F289" s="253">
        <f t="shared" si="28"/>
        <v>0</v>
      </c>
      <c r="G289" s="294"/>
      <c r="H289" s="305"/>
    </row>
    <row r="290" spans="1:8" s="260" customFormat="1" ht="40.5" customHeight="1">
      <c r="A290" s="311" t="s">
        <v>269</v>
      </c>
      <c r="B290" s="318" t="s">
        <v>410</v>
      </c>
      <c r="C290" s="309" t="s">
        <v>229</v>
      </c>
      <c r="D290" s="291">
        <v>2</v>
      </c>
      <c r="E290" s="292"/>
      <c r="F290" s="253">
        <f t="shared" si="28"/>
        <v>0</v>
      </c>
      <c r="G290" s="294"/>
      <c r="H290" s="305"/>
    </row>
    <row r="291" spans="1:8" s="260" customFormat="1" ht="52">
      <c r="A291" s="311" t="s">
        <v>341</v>
      </c>
      <c r="B291" s="318" t="s">
        <v>583</v>
      </c>
      <c r="C291" s="309" t="s">
        <v>229</v>
      </c>
      <c r="D291" s="289">
        <f>48+3</f>
        <v>51</v>
      </c>
      <c r="E291" s="292"/>
      <c r="F291" s="253">
        <f t="shared" si="28"/>
        <v>0</v>
      </c>
      <c r="G291" s="294"/>
      <c r="H291" s="305"/>
    </row>
    <row r="292" spans="1:8" s="260" customFormat="1" ht="42" customHeight="1">
      <c r="A292" s="311" t="s">
        <v>245</v>
      </c>
      <c r="B292" s="312" t="s">
        <v>540</v>
      </c>
      <c r="C292" s="309" t="s">
        <v>280</v>
      </c>
      <c r="D292" s="329">
        <f>10100/5</f>
        <v>2020</v>
      </c>
      <c r="E292" s="290"/>
      <c r="F292" s="253">
        <f t="shared" si="28"/>
        <v>0</v>
      </c>
      <c r="G292" s="294"/>
      <c r="H292" s="305"/>
    </row>
    <row r="293" spans="1:8" s="260" customFormat="1" ht="89.25" customHeight="1" thickBot="1">
      <c r="A293" s="311" t="s">
        <v>232</v>
      </c>
      <c r="B293" s="312" t="s">
        <v>389</v>
      </c>
      <c r="C293" s="309" t="s">
        <v>259</v>
      </c>
      <c r="D293" s="297">
        <v>0.13</v>
      </c>
      <c r="E293" s="302"/>
      <c r="F293" s="253">
        <f t="shared" si="28"/>
        <v>0</v>
      </c>
      <c r="G293" s="294"/>
      <c r="H293" s="305"/>
    </row>
    <row r="294" spans="1:8" s="260" customFormat="1">
      <c r="A294" s="524" t="s">
        <v>615</v>
      </c>
      <c r="B294" s="525"/>
      <c r="C294" s="525"/>
      <c r="D294" s="525"/>
      <c r="E294" s="330"/>
      <c r="F294" s="479">
        <f>SUM(F261:F293)</f>
        <v>0</v>
      </c>
      <c r="G294" s="303"/>
      <c r="H294" s="261"/>
    </row>
    <row r="295" spans="1:8" s="260" customFormat="1">
      <c r="A295" s="526" t="s">
        <v>247</v>
      </c>
      <c r="B295" s="527"/>
      <c r="C295" s="527"/>
      <c r="D295" s="527"/>
      <c r="E295" s="331"/>
      <c r="F295" s="254">
        <f>F294*0.2</f>
        <v>0</v>
      </c>
      <c r="G295" s="304"/>
      <c r="H295" s="261"/>
    </row>
    <row r="296" spans="1:8" s="260" customFormat="1" ht="16" thickBot="1">
      <c r="A296" s="528" t="s">
        <v>616</v>
      </c>
      <c r="B296" s="529"/>
      <c r="C296" s="529"/>
      <c r="D296" s="529"/>
      <c r="E296" s="332"/>
      <c r="F296" s="255">
        <f>F294+F295</f>
        <v>0</v>
      </c>
      <c r="G296" s="304"/>
      <c r="H296" s="261"/>
    </row>
    <row r="297" spans="1:8" s="260" customFormat="1" ht="50.25" customHeight="1" thickBot="1">
      <c r="A297" s="530" t="s">
        <v>219</v>
      </c>
      <c r="B297" s="532" t="s">
        <v>220</v>
      </c>
      <c r="C297" s="534" t="s">
        <v>240</v>
      </c>
      <c r="D297" s="535"/>
      <c r="E297" s="536" t="s">
        <v>221</v>
      </c>
      <c r="F297" s="537"/>
      <c r="G297" s="412"/>
      <c r="H297" s="261"/>
    </row>
    <row r="298" spans="1:8" s="260" customFormat="1" ht="27.65" customHeight="1">
      <c r="A298" s="531"/>
      <c r="B298" s="533"/>
      <c r="C298" s="538" t="s">
        <v>222</v>
      </c>
      <c r="D298" s="539" t="s">
        <v>223</v>
      </c>
      <c r="E298" s="540" t="s">
        <v>610</v>
      </c>
      <c r="F298" s="541" t="s">
        <v>611</v>
      </c>
      <c r="G298" s="520"/>
      <c r="H298" s="261"/>
    </row>
    <row r="299" spans="1:8" s="260" customFormat="1" ht="16" thickBot="1">
      <c r="A299" s="522" t="s">
        <v>301</v>
      </c>
      <c r="B299" s="523"/>
      <c r="C299" s="538"/>
      <c r="D299" s="539"/>
      <c r="E299" s="540"/>
      <c r="F299" s="541"/>
      <c r="G299" s="521"/>
      <c r="H299" s="261"/>
    </row>
    <row r="300" spans="1:8" s="260" customFormat="1">
      <c r="A300" s="299" t="s">
        <v>241</v>
      </c>
      <c r="B300" s="242" t="s">
        <v>308</v>
      </c>
      <c r="C300" s="328" t="s">
        <v>226</v>
      </c>
      <c r="D300" s="297">
        <v>0.13</v>
      </c>
      <c r="E300" s="300"/>
      <c r="F300" s="253">
        <f t="shared" ref="F300:F301" si="38">E300*D300</f>
        <v>0</v>
      </c>
      <c r="G300" s="411"/>
      <c r="H300" s="261"/>
    </row>
    <row r="301" spans="1:8" s="260" customFormat="1" ht="26.5" thickBot="1">
      <c r="A301" s="250" t="s">
        <v>242</v>
      </c>
      <c r="B301" s="248" t="s">
        <v>313</v>
      </c>
      <c r="C301" s="328" t="s">
        <v>226</v>
      </c>
      <c r="D301" s="297">
        <v>0.13</v>
      </c>
      <c r="E301" s="300"/>
      <c r="F301" s="253">
        <f t="shared" si="38"/>
        <v>0</v>
      </c>
      <c r="G301" s="293"/>
      <c r="H301" s="261"/>
    </row>
    <row r="302" spans="1:8" s="260" customFormat="1">
      <c r="A302" s="524" t="s">
        <v>613</v>
      </c>
      <c r="B302" s="525"/>
      <c r="C302" s="525"/>
      <c r="D302" s="525"/>
      <c r="E302" s="333"/>
      <c r="F302" s="262">
        <f>SUM(F300:F301)</f>
        <v>0</v>
      </c>
      <c r="G302" s="249"/>
      <c r="H302" s="261"/>
    </row>
    <row r="303" spans="1:8" s="260" customFormat="1">
      <c r="A303" s="526" t="s">
        <v>247</v>
      </c>
      <c r="B303" s="527"/>
      <c r="C303" s="527"/>
      <c r="D303" s="527"/>
      <c r="E303" s="331"/>
      <c r="F303" s="256">
        <f>F302*0.2</f>
        <v>0</v>
      </c>
      <c r="G303" s="249"/>
      <c r="H303" s="261"/>
    </row>
    <row r="304" spans="1:8" s="260" customFormat="1" ht="16" thickBot="1">
      <c r="A304" s="528" t="s">
        <v>614</v>
      </c>
      <c r="B304" s="529"/>
      <c r="C304" s="529"/>
      <c r="D304" s="529"/>
      <c r="E304" s="332"/>
      <c r="F304" s="263">
        <f>F302+F303</f>
        <v>0</v>
      </c>
      <c r="G304" s="249"/>
      <c r="H304" s="261"/>
    </row>
    <row r="306" spans="1:7" ht="27.75" customHeight="1">
      <c r="A306" s="413">
        <v>1</v>
      </c>
      <c r="B306" s="580" t="s">
        <v>612</v>
      </c>
      <c r="C306" s="580"/>
      <c r="D306" s="580"/>
      <c r="E306" s="580"/>
      <c r="F306" s="414">
        <f>F302+F294+F252+F244+F202+F194+F153+F145+F104+F96+F88</f>
        <v>0</v>
      </c>
      <c r="G306" s="258"/>
    </row>
    <row r="307" spans="1:7">
      <c r="A307" s="415"/>
      <c r="B307" s="581"/>
      <c r="C307" s="581"/>
      <c r="D307" s="581"/>
      <c r="E307" s="416"/>
      <c r="F307" s="417"/>
      <c r="G307" s="258"/>
    </row>
    <row r="308" spans="1:7" ht="21" customHeight="1">
      <c r="A308" s="582" t="s">
        <v>592</v>
      </c>
      <c r="B308" s="582"/>
      <c r="C308" s="582"/>
      <c r="D308" s="582"/>
      <c r="E308" s="582"/>
      <c r="F308" s="582"/>
      <c r="G308" s="582"/>
    </row>
    <row r="309" spans="1:7" ht="21" customHeight="1">
      <c r="A309" s="577" t="s">
        <v>593</v>
      </c>
      <c r="B309" s="577"/>
      <c r="C309" s="578" t="s">
        <v>594</v>
      </c>
      <c r="D309" s="578"/>
      <c r="E309" s="578"/>
      <c r="F309" s="578"/>
      <c r="G309" s="578"/>
    </row>
    <row r="310" spans="1:7" ht="21" customHeight="1">
      <c r="A310" s="577" t="s">
        <v>595</v>
      </c>
      <c r="B310" s="577"/>
      <c r="C310" s="578" t="s">
        <v>596</v>
      </c>
      <c r="D310" s="578"/>
      <c r="E310" s="578"/>
      <c r="F310" s="578"/>
      <c r="G310" s="578"/>
    </row>
    <row r="311" spans="1:7" ht="86.25" customHeight="1">
      <c r="A311" s="577" t="s">
        <v>597</v>
      </c>
      <c r="B311" s="577"/>
      <c r="C311" s="578" t="s">
        <v>609</v>
      </c>
      <c r="D311" s="578"/>
      <c r="E311" s="578"/>
      <c r="F311" s="578"/>
      <c r="G311" s="578"/>
    </row>
    <row r="312" spans="1:7" ht="30.75" customHeight="1">
      <c r="A312" s="577" t="s">
        <v>598</v>
      </c>
      <c r="B312" s="577"/>
      <c r="C312" s="579" t="s">
        <v>599</v>
      </c>
      <c r="D312" s="579"/>
      <c r="E312" s="579"/>
      <c r="F312" s="579"/>
      <c r="G312" s="579"/>
    </row>
    <row r="313" spans="1:7" ht="31.5" customHeight="1">
      <c r="A313" s="577" t="s">
        <v>600</v>
      </c>
      <c r="B313" s="577"/>
      <c r="C313" s="579" t="s">
        <v>601</v>
      </c>
      <c r="D313" s="579"/>
      <c r="E313" s="579"/>
      <c r="F313" s="579"/>
      <c r="G313" s="579"/>
    </row>
    <row r="314" spans="1:7">
      <c r="A314" s="439"/>
      <c r="B314" s="439"/>
      <c r="C314" s="440"/>
      <c r="D314" s="441"/>
      <c r="E314" s="440"/>
      <c r="F314" s="440"/>
      <c r="G314" s="440"/>
    </row>
    <row r="315" spans="1:7">
      <c r="A315" s="576" t="s">
        <v>602</v>
      </c>
      <c r="B315" s="576"/>
      <c r="C315" s="576" t="s">
        <v>603</v>
      </c>
      <c r="D315" s="576"/>
      <c r="E315" s="576"/>
      <c r="F315" s="576"/>
      <c r="G315" s="576"/>
    </row>
    <row r="316" spans="1:7">
      <c r="A316" s="575" t="s">
        <v>604</v>
      </c>
      <c r="B316" s="575"/>
      <c r="C316" s="442"/>
      <c r="D316" s="443" t="s">
        <v>605</v>
      </c>
      <c r="E316" s="442"/>
      <c r="F316" s="444" t="s">
        <v>606</v>
      </c>
      <c r="G316" s="445"/>
    </row>
    <row r="317" spans="1:7">
      <c r="A317" s="575"/>
      <c r="B317" s="575"/>
      <c r="C317" s="576" t="s">
        <v>607</v>
      </c>
      <c r="D317" s="576"/>
      <c r="E317" s="446"/>
      <c r="F317" s="446"/>
      <c r="G317" s="447"/>
    </row>
  </sheetData>
  <mergeCells count="168">
    <mergeCell ref="A146:D146"/>
    <mergeCell ref="A147:D147"/>
    <mergeCell ref="A109:A110"/>
    <mergeCell ref="B109:B110"/>
    <mergeCell ref="C109:D109"/>
    <mergeCell ref="E109:F109"/>
    <mergeCell ref="A317:B317"/>
    <mergeCell ref="C317:D317"/>
    <mergeCell ref="A311:B311"/>
    <mergeCell ref="C311:G311"/>
    <mergeCell ref="A312:B312"/>
    <mergeCell ref="C312:G312"/>
    <mergeCell ref="A313:B313"/>
    <mergeCell ref="C313:G313"/>
    <mergeCell ref="A315:B315"/>
    <mergeCell ref="C315:G315"/>
    <mergeCell ref="A316:B316"/>
    <mergeCell ref="B306:E306"/>
    <mergeCell ref="B307:D307"/>
    <mergeCell ref="A308:G308"/>
    <mergeCell ref="A309:B309"/>
    <mergeCell ref="C309:G309"/>
    <mergeCell ref="A310:B310"/>
    <mergeCell ref="C310:G310"/>
    <mergeCell ref="A148:A149"/>
    <mergeCell ref="B148:B149"/>
    <mergeCell ref="C148:D148"/>
    <mergeCell ref="E148:F148"/>
    <mergeCell ref="C149:C150"/>
    <mergeCell ref="D149:D150"/>
    <mergeCell ref="E149:E150"/>
    <mergeCell ref="F149:F150"/>
    <mergeCell ref="G149:G150"/>
    <mergeCell ref="A150:B150"/>
    <mergeCell ref="F110:F111"/>
    <mergeCell ref="G110:G111"/>
    <mergeCell ref="A111:B111"/>
    <mergeCell ref="C92:C93"/>
    <mergeCell ref="D92:D93"/>
    <mergeCell ref="E92:E93"/>
    <mergeCell ref="F92:F93"/>
    <mergeCell ref="A106:D106"/>
    <mergeCell ref="G13:G15"/>
    <mergeCell ref="C3:E3"/>
    <mergeCell ref="A90:D90"/>
    <mergeCell ref="G92:G93"/>
    <mergeCell ref="A98:D98"/>
    <mergeCell ref="A93:B93"/>
    <mergeCell ref="B91:B92"/>
    <mergeCell ref="C91:D91"/>
    <mergeCell ref="B13:B14"/>
    <mergeCell ref="A13:A14"/>
    <mergeCell ref="A15:B15"/>
    <mergeCell ref="A89:D89"/>
    <mergeCell ref="A96:D96"/>
    <mergeCell ref="A97:D97"/>
    <mergeCell ref="A91:A92"/>
    <mergeCell ref="E91:F91"/>
    <mergeCell ref="C14:C15"/>
    <mergeCell ref="D14:D15"/>
    <mergeCell ref="E14:E15"/>
    <mergeCell ref="F14:F15"/>
    <mergeCell ref="C13:D13"/>
    <mergeCell ref="E13:F13"/>
    <mergeCell ref="A88:D88"/>
    <mergeCell ref="A11:G11"/>
    <mergeCell ref="A12:G12"/>
    <mergeCell ref="G159:G160"/>
    <mergeCell ref="A153:D153"/>
    <mergeCell ref="A154:D154"/>
    <mergeCell ref="A155:D155"/>
    <mergeCell ref="A160:B160"/>
    <mergeCell ref="E100:E101"/>
    <mergeCell ref="F100:F101"/>
    <mergeCell ref="A101:B101"/>
    <mergeCell ref="A145:D145"/>
    <mergeCell ref="A108:G108"/>
    <mergeCell ref="A99:A100"/>
    <mergeCell ref="B99:B100"/>
    <mergeCell ref="C99:D99"/>
    <mergeCell ref="A104:D104"/>
    <mergeCell ref="A105:D105"/>
    <mergeCell ref="E99:F99"/>
    <mergeCell ref="C100:C101"/>
    <mergeCell ref="D100:D101"/>
    <mergeCell ref="G100:G101"/>
    <mergeCell ref="A157:G157"/>
    <mergeCell ref="A158:A159"/>
    <mergeCell ref="C110:C111"/>
    <mergeCell ref="D110:D111"/>
    <mergeCell ref="E110:E111"/>
    <mergeCell ref="B158:B159"/>
    <mergeCell ref="C158:D158"/>
    <mergeCell ref="E158:F158"/>
    <mergeCell ref="C159:C160"/>
    <mergeCell ref="A194:D194"/>
    <mergeCell ref="A195:D195"/>
    <mergeCell ref="A196:D196"/>
    <mergeCell ref="A197:A198"/>
    <mergeCell ref="B197:B198"/>
    <mergeCell ref="C197:D197"/>
    <mergeCell ref="E197:F197"/>
    <mergeCell ref="C198:C199"/>
    <mergeCell ref="D198:D199"/>
    <mergeCell ref="E198:E199"/>
    <mergeCell ref="F198:F199"/>
    <mergeCell ref="D159:D160"/>
    <mergeCell ref="E159:E160"/>
    <mergeCell ref="F159:F160"/>
    <mergeCell ref="A244:D244"/>
    <mergeCell ref="A245:D245"/>
    <mergeCell ref="A246:D246"/>
    <mergeCell ref="A247:A248"/>
    <mergeCell ref="B247:B248"/>
    <mergeCell ref="C247:D247"/>
    <mergeCell ref="G198:G199"/>
    <mergeCell ref="A210:B210"/>
    <mergeCell ref="A199:B199"/>
    <mergeCell ref="A202:D202"/>
    <mergeCell ref="A203:D203"/>
    <mergeCell ref="A204:D204"/>
    <mergeCell ref="A207:G207"/>
    <mergeCell ref="A208:A209"/>
    <mergeCell ref="B208:B209"/>
    <mergeCell ref="C208:D208"/>
    <mergeCell ref="E208:F208"/>
    <mergeCell ref="C209:C210"/>
    <mergeCell ref="D209:D210"/>
    <mergeCell ref="E209:E210"/>
    <mergeCell ref="F209:F210"/>
    <mergeCell ref="G209:G210"/>
    <mergeCell ref="E247:F247"/>
    <mergeCell ref="C248:C249"/>
    <mergeCell ref="D248:D249"/>
    <mergeCell ref="E248:E249"/>
    <mergeCell ref="F248:F249"/>
    <mergeCell ref="G248:G249"/>
    <mergeCell ref="A260:B260"/>
    <mergeCell ref="A294:D294"/>
    <mergeCell ref="A295:D295"/>
    <mergeCell ref="A249:B249"/>
    <mergeCell ref="A252:D252"/>
    <mergeCell ref="A253:D253"/>
    <mergeCell ref="A296:D296"/>
    <mergeCell ref="A254:D254"/>
    <mergeCell ref="A257:G257"/>
    <mergeCell ref="A258:A259"/>
    <mergeCell ref="B258:B259"/>
    <mergeCell ref="C258:D258"/>
    <mergeCell ref="E258:F258"/>
    <mergeCell ref="C259:C260"/>
    <mergeCell ref="D259:D260"/>
    <mergeCell ref="E259:E260"/>
    <mergeCell ref="F259:F260"/>
    <mergeCell ref="G259:G260"/>
    <mergeCell ref="G298:G299"/>
    <mergeCell ref="A299:B299"/>
    <mergeCell ref="A302:D302"/>
    <mergeCell ref="A303:D303"/>
    <mergeCell ref="A304:D304"/>
    <mergeCell ref="A297:A298"/>
    <mergeCell ref="B297:B298"/>
    <mergeCell ref="C297:D297"/>
    <mergeCell ref="E297:F297"/>
    <mergeCell ref="C298:C299"/>
    <mergeCell ref="D298:D299"/>
    <mergeCell ref="E298:E299"/>
    <mergeCell ref="F298:F299"/>
  </mergeCells>
  <pageMargins left="0.7" right="0.7" top="0.75" bottom="0.75" header="0.3" footer="0.3"/>
  <pageSetup paperSize="9" scale="48" fitToHeight="0" orientation="portrait" verticalDpi="4294967295" r:id="rId1"/>
  <rowBreaks count="4" manualBreakCount="4">
    <brk id="83" max="6" man="1"/>
    <brk id="119" max="6" man="1"/>
    <brk id="147" max="6" man="1"/>
    <brk id="17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2"/>
  <sheetViews>
    <sheetView view="pageBreakPreview" zoomScale="70" zoomScaleNormal="68" zoomScaleSheetLayoutView="70" workbookViewId="0"/>
  </sheetViews>
  <sheetFormatPr defaultColWidth="9.36328125" defaultRowHeight="15.5"/>
  <cols>
    <col min="1" max="1" width="7.453125" style="258" customWidth="1"/>
    <col min="2" max="2" width="85.36328125" style="258" customWidth="1"/>
    <col min="3" max="3" width="16.90625" style="259" customWidth="1"/>
    <col min="4" max="4" width="16.08984375" style="264" customWidth="1"/>
    <col min="5" max="5" width="21" style="259" customWidth="1"/>
    <col min="6" max="6" width="21.36328125" style="259" customWidth="1"/>
    <col min="7" max="7" width="21.26953125" style="260" customWidth="1"/>
    <col min="8" max="16384" width="9.36328125" style="258"/>
  </cols>
  <sheetData>
    <row r="1" spans="1:7" s="422" customFormat="1" ht="18.75" customHeight="1">
      <c r="A1" s="418" t="s">
        <v>585</v>
      </c>
      <c r="B1" s="419"/>
      <c r="C1" s="420"/>
      <c r="D1" s="421"/>
      <c r="E1" s="421"/>
      <c r="F1" s="421"/>
      <c r="G1" s="421"/>
    </row>
    <row r="2" spans="1:7" s="422" customFormat="1" ht="18.75" customHeight="1">
      <c r="A2" s="423"/>
      <c r="B2" s="423"/>
      <c r="C2" s="609"/>
      <c r="D2" s="609"/>
      <c r="E2" s="609"/>
      <c r="F2" s="424"/>
      <c r="G2" s="424"/>
    </row>
    <row r="3" spans="1:7" s="422" customFormat="1" ht="18.75" customHeight="1">
      <c r="A3" s="425" t="s">
        <v>586</v>
      </c>
      <c r="B3" s="478" t="s">
        <v>587</v>
      </c>
      <c r="C3" s="426"/>
      <c r="D3" s="426"/>
      <c r="E3" s="426"/>
      <c r="F3" s="426"/>
      <c r="G3" s="426"/>
    </row>
    <row r="4" spans="1:7" s="422" customFormat="1" ht="18.75" customHeight="1">
      <c r="A4" s="427"/>
      <c r="B4" s="427"/>
      <c r="C4" s="428"/>
      <c r="D4" s="428"/>
      <c r="E4" s="428"/>
      <c r="F4" s="428"/>
      <c r="G4" s="428"/>
    </row>
    <row r="5" spans="1:7" s="422" customFormat="1" ht="18.75" customHeight="1">
      <c r="A5" s="418" t="s">
        <v>588</v>
      </c>
      <c r="B5" s="418"/>
      <c r="C5" s="429"/>
      <c r="D5" s="429"/>
      <c r="E5" s="429"/>
      <c r="F5" s="429"/>
      <c r="G5" s="429"/>
    </row>
    <row r="6" spans="1:7" s="422" customFormat="1" ht="18.75" customHeight="1">
      <c r="A6" s="418" t="s">
        <v>589</v>
      </c>
      <c r="B6" s="418"/>
      <c r="C6" s="429"/>
      <c r="D6" s="429"/>
      <c r="E6" s="429"/>
      <c r="F6" s="429"/>
      <c r="G6" s="429"/>
    </row>
    <row r="7" spans="1:7" s="432" customFormat="1" ht="18">
      <c r="A7" s="430" t="s">
        <v>285</v>
      </c>
      <c r="B7" s="431"/>
      <c r="C7" s="431"/>
      <c r="D7" s="431"/>
      <c r="E7" s="431"/>
      <c r="F7" s="431"/>
      <c r="G7" s="431"/>
    </row>
    <row r="8" spans="1:7" s="432" customFormat="1" ht="18">
      <c r="A8" s="433"/>
      <c r="B8" s="434"/>
      <c r="C8" s="435"/>
      <c r="D8" s="436"/>
      <c r="E8" s="436"/>
      <c r="F8" s="436"/>
      <c r="G8" s="436"/>
    </row>
    <row r="9" spans="1:7" s="432" customFormat="1" ht="18">
      <c r="A9" s="613" t="s">
        <v>218</v>
      </c>
      <c r="B9" s="614"/>
      <c r="C9" s="614"/>
      <c r="D9" s="614"/>
      <c r="E9" s="614"/>
      <c r="F9" s="614"/>
      <c r="G9" s="614"/>
    </row>
    <row r="10" spans="1:7" s="432" customFormat="1" ht="15.65" customHeight="1" thickBot="1">
      <c r="A10" s="437"/>
      <c r="B10" s="438"/>
      <c r="C10" s="438"/>
      <c r="D10" s="438"/>
      <c r="E10" s="438"/>
      <c r="F10" s="438"/>
      <c r="G10" s="438"/>
    </row>
    <row r="11" spans="1:7" ht="16" thickBot="1">
      <c r="A11" s="542" t="s">
        <v>329</v>
      </c>
      <c r="B11" s="543"/>
      <c r="C11" s="543"/>
      <c r="D11" s="543"/>
      <c r="E11" s="543"/>
      <c r="F11" s="543"/>
      <c r="G11" s="543"/>
    </row>
    <row r="12" spans="1:7" s="382" customFormat="1" ht="42" customHeight="1" thickBot="1">
      <c r="A12" s="565" t="s">
        <v>219</v>
      </c>
      <c r="B12" s="565" t="s">
        <v>331</v>
      </c>
      <c r="C12" s="544" t="s">
        <v>246</v>
      </c>
      <c r="D12" s="545"/>
      <c r="E12" s="607" t="s">
        <v>221</v>
      </c>
      <c r="F12" s="615"/>
      <c r="G12" s="572" t="s">
        <v>591</v>
      </c>
    </row>
    <row r="13" spans="1:7" s="382" customFormat="1" ht="20" customHeight="1" thickBot="1">
      <c r="A13" s="566"/>
      <c r="B13" s="566"/>
      <c r="C13" s="547" t="s">
        <v>222</v>
      </c>
      <c r="D13" s="549" t="s">
        <v>223</v>
      </c>
      <c r="E13" s="551" t="s">
        <v>610</v>
      </c>
      <c r="F13" s="616" t="s">
        <v>611</v>
      </c>
      <c r="G13" s="573"/>
    </row>
    <row r="14" spans="1:7" s="382" customFormat="1" ht="17.399999999999999" customHeight="1" thickBot="1">
      <c r="A14" s="591" t="s">
        <v>224</v>
      </c>
      <c r="B14" s="612"/>
      <c r="C14" s="608"/>
      <c r="D14" s="610"/>
      <c r="E14" s="611"/>
      <c r="F14" s="617"/>
      <c r="G14" s="573"/>
    </row>
    <row r="15" spans="1:7" s="260" customFormat="1" ht="75" customHeight="1">
      <c r="A15" s="339" t="s">
        <v>241</v>
      </c>
      <c r="B15" s="340" t="s">
        <v>541</v>
      </c>
      <c r="C15" s="343" t="s">
        <v>227</v>
      </c>
      <c r="D15" s="453">
        <v>22</v>
      </c>
      <c r="E15" s="472"/>
      <c r="F15" s="473">
        <f>E15*D15</f>
        <v>0</v>
      </c>
      <c r="G15" s="474"/>
    </row>
    <row r="16" spans="1:7" s="260" customFormat="1" ht="73.5" customHeight="1">
      <c r="A16" s="348" t="s">
        <v>242</v>
      </c>
      <c r="B16" s="342" t="s">
        <v>542</v>
      </c>
      <c r="C16" s="349" t="s">
        <v>266</v>
      </c>
      <c r="D16" s="454">
        <v>3100</v>
      </c>
      <c r="E16" s="460"/>
      <c r="F16" s="452">
        <f t="shared" ref="F16:F58" si="0">E16*D16</f>
        <v>0</v>
      </c>
      <c r="G16" s="461"/>
    </row>
    <row r="17" spans="1:7" s="260" customFormat="1">
      <c r="A17" s="348" t="s">
        <v>249</v>
      </c>
      <c r="B17" s="351" t="s">
        <v>274</v>
      </c>
      <c r="C17" s="343"/>
      <c r="D17" s="453"/>
      <c r="E17" s="460"/>
      <c r="F17" s="452">
        <f t="shared" si="0"/>
        <v>0</v>
      </c>
      <c r="G17" s="461"/>
    </row>
    <row r="18" spans="1:7" s="260" customFormat="1" ht="105" customHeight="1">
      <c r="A18" s="352" t="s">
        <v>364</v>
      </c>
      <c r="B18" s="353" t="s">
        <v>424</v>
      </c>
      <c r="C18" s="343" t="s">
        <v>229</v>
      </c>
      <c r="D18" s="454">
        <f>18*D20</f>
        <v>2700</v>
      </c>
      <c r="E18" s="460"/>
      <c r="F18" s="452">
        <f t="shared" si="0"/>
        <v>0</v>
      </c>
      <c r="G18" s="461"/>
    </row>
    <row r="19" spans="1:7" s="260" customFormat="1" ht="99" customHeight="1">
      <c r="A19" s="352" t="s">
        <v>365</v>
      </c>
      <c r="B19" s="353" t="s">
        <v>425</v>
      </c>
      <c r="C19" s="343" t="s">
        <v>229</v>
      </c>
      <c r="D19" s="454">
        <f>16*D21</f>
        <v>10592</v>
      </c>
      <c r="E19" s="460"/>
      <c r="F19" s="452">
        <f t="shared" si="0"/>
        <v>0</v>
      </c>
      <c r="G19" s="461"/>
    </row>
    <row r="20" spans="1:7" s="260" customFormat="1" ht="99" customHeight="1">
      <c r="A20" s="352" t="s">
        <v>366</v>
      </c>
      <c r="B20" s="353" t="s">
        <v>543</v>
      </c>
      <c r="C20" s="343" t="s">
        <v>229</v>
      </c>
      <c r="D20" s="454">
        <v>150</v>
      </c>
      <c r="E20" s="460"/>
      <c r="F20" s="452">
        <f t="shared" si="0"/>
        <v>0</v>
      </c>
      <c r="G20" s="461"/>
    </row>
    <row r="21" spans="1:7" s="260" customFormat="1" ht="114.75" customHeight="1">
      <c r="A21" s="352" t="s">
        <v>367</v>
      </c>
      <c r="B21" s="353" t="s">
        <v>544</v>
      </c>
      <c r="C21" s="343" t="s">
        <v>229</v>
      </c>
      <c r="D21" s="454">
        <v>662</v>
      </c>
      <c r="E21" s="460"/>
      <c r="F21" s="452">
        <f t="shared" si="0"/>
        <v>0</v>
      </c>
      <c r="G21" s="461"/>
    </row>
    <row r="22" spans="1:7" s="260" customFormat="1" ht="104">
      <c r="A22" s="352" t="s">
        <v>368</v>
      </c>
      <c r="B22" s="354" t="s">
        <v>578</v>
      </c>
      <c r="C22" s="343" t="s">
        <v>229</v>
      </c>
      <c r="D22" s="454">
        <f t="shared" ref="D22" si="1">8700+31776</f>
        <v>40476</v>
      </c>
      <c r="E22" s="460"/>
      <c r="F22" s="452">
        <f t="shared" si="0"/>
        <v>0</v>
      </c>
      <c r="G22" s="461"/>
    </row>
    <row r="23" spans="1:7" s="260" customFormat="1" ht="33.75" customHeight="1">
      <c r="A23" s="348" t="s">
        <v>250</v>
      </c>
      <c r="B23" s="355" t="s">
        <v>263</v>
      </c>
      <c r="C23" s="386"/>
      <c r="D23" s="454"/>
      <c r="E23" s="460"/>
      <c r="F23" s="452">
        <f t="shared" si="0"/>
        <v>0</v>
      </c>
      <c r="G23" s="461"/>
    </row>
    <row r="24" spans="1:7" s="260" customFormat="1" ht="113.25" customHeight="1">
      <c r="A24" s="352" t="s">
        <v>369</v>
      </c>
      <c r="B24" s="353" t="s">
        <v>428</v>
      </c>
      <c r="C24" s="343" t="s">
        <v>229</v>
      </c>
      <c r="D24" s="454">
        <v>2</v>
      </c>
      <c r="E24" s="462"/>
      <c r="F24" s="452">
        <f t="shared" si="0"/>
        <v>0</v>
      </c>
      <c r="G24" s="461"/>
    </row>
    <row r="25" spans="1:7" s="260" customFormat="1" ht="97.5" customHeight="1">
      <c r="A25" s="352" t="s">
        <v>370</v>
      </c>
      <c r="B25" s="353" t="s">
        <v>545</v>
      </c>
      <c r="C25" s="343" t="s">
        <v>229</v>
      </c>
      <c r="D25" s="455">
        <f>48+3</f>
        <v>51</v>
      </c>
      <c r="E25" s="460"/>
      <c r="F25" s="452">
        <f t="shared" si="0"/>
        <v>0</v>
      </c>
      <c r="G25" s="461"/>
    </row>
    <row r="26" spans="1:7" s="260" customFormat="1" ht="116.25" customHeight="1">
      <c r="A26" s="352" t="s">
        <v>380</v>
      </c>
      <c r="B26" s="353" t="s">
        <v>546</v>
      </c>
      <c r="C26" s="343" t="s">
        <v>229</v>
      </c>
      <c r="D26" s="455">
        <v>1</v>
      </c>
      <c r="E26" s="460"/>
      <c r="F26" s="452">
        <f t="shared" si="0"/>
        <v>0</v>
      </c>
      <c r="G26" s="461"/>
    </row>
    <row r="27" spans="1:7" s="260" customFormat="1">
      <c r="A27" s="348" t="s">
        <v>251</v>
      </c>
      <c r="B27" s="342" t="s">
        <v>279</v>
      </c>
      <c r="C27" s="358"/>
      <c r="D27" s="453"/>
      <c r="E27" s="460"/>
      <c r="F27" s="452">
        <f t="shared" si="0"/>
        <v>0</v>
      </c>
      <c r="G27" s="461"/>
    </row>
    <row r="28" spans="1:7" s="260" customFormat="1" ht="74.25" customHeight="1">
      <c r="A28" s="352" t="s">
        <v>371</v>
      </c>
      <c r="B28" s="353" t="s">
        <v>395</v>
      </c>
      <c r="C28" s="343" t="s">
        <v>228</v>
      </c>
      <c r="D28" s="453">
        <v>2</v>
      </c>
      <c r="E28" s="460"/>
      <c r="F28" s="452">
        <f t="shared" si="0"/>
        <v>0</v>
      </c>
      <c r="G28" s="461"/>
    </row>
    <row r="29" spans="1:7" s="260" customFormat="1">
      <c r="A29" s="352" t="s">
        <v>372</v>
      </c>
      <c r="B29" s="353" t="s">
        <v>287</v>
      </c>
      <c r="C29" s="343" t="s">
        <v>229</v>
      </c>
      <c r="D29" s="455">
        <f>48+3</f>
        <v>51</v>
      </c>
      <c r="E29" s="460"/>
      <c r="F29" s="452">
        <f t="shared" si="0"/>
        <v>0</v>
      </c>
      <c r="G29" s="461"/>
    </row>
    <row r="30" spans="1:7" s="260" customFormat="1" ht="73.5" customHeight="1">
      <c r="A30" s="352" t="s">
        <v>381</v>
      </c>
      <c r="B30" s="353" t="s">
        <v>332</v>
      </c>
      <c r="C30" s="343" t="s">
        <v>229</v>
      </c>
      <c r="D30" s="455">
        <v>1</v>
      </c>
      <c r="E30" s="460"/>
      <c r="F30" s="452">
        <f t="shared" si="0"/>
        <v>0</v>
      </c>
      <c r="G30" s="461"/>
    </row>
    <row r="31" spans="1:7" s="260" customFormat="1" ht="116" customHeight="1">
      <c r="A31" s="352" t="s">
        <v>277</v>
      </c>
      <c r="B31" s="342" t="s">
        <v>438</v>
      </c>
      <c r="C31" s="343" t="s">
        <v>228</v>
      </c>
      <c r="D31" s="453">
        <v>99</v>
      </c>
      <c r="E31" s="460"/>
      <c r="F31" s="452">
        <f t="shared" si="0"/>
        <v>0</v>
      </c>
      <c r="G31" s="461"/>
    </row>
    <row r="32" spans="1:7" s="260" customFormat="1" ht="33" customHeight="1">
      <c r="A32" s="348" t="s">
        <v>580</v>
      </c>
      <c r="B32" s="342" t="s">
        <v>293</v>
      </c>
      <c r="C32" s="343" t="s">
        <v>228</v>
      </c>
      <c r="D32" s="453">
        <v>630</v>
      </c>
      <c r="E32" s="460"/>
      <c r="F32" s="452">
        <f t="shared" si="0"/>
        <v>0</v>
      </c>
      <c r="G32" s="461"/>
    </row>
    <row r="33" spans="1:7" s="260" customFormat="1" ht="37.5" customHeight="1">
      <c r="A33" s="348" t="s">
        <v>276</v>
      </c>
      <c r="B33" s="342" t="s">
        <v>439</v>
      </c>
      <c r="C33" s="343" t="s">
        <v>230</v>
      </c>
      <c r="D33" s="456">
        <f t="shared" ref="D33" si="2">22.7/115.6*15</f>
        <v>2.9455017301038064</v>
      </c>
      <c r="E33" s="460"/>
      <c r="F33" s="452">
        <f t="shared" si="0"/>
        <v>0</v>
      </c>
      <c r="G33" s="461"/>
    </row>
    <row r="34" spans="1:7" s="260" customFormat="1" ht="62.25" customHeight="1">
      <c r="A34" s="348" t="s">
        <v>267</v>
      </c>
      <c r="B34" s="356" t="s">
        <v>547</v>
      </c>
      <c r="C34" s="357" t="s">
        <v>230</v>
      </c>
      <c r="D34" s="456">
        <f t="shared" ref="D34" si="3">56.1/115.6*15</f>
        <v>7.2794117647058831</v>
      </c>
      <c r="E34" s="460"/>
      <c r="F34" s="452">
        <f t="shared" si="0"/>
        <v>0</v>
      </c>
      <c r="G34" s="461"/>
    </row>
    <row r="35" spans="1:7" s="260" customFormat="1" ht="33.75" customHeight="1">
      <c r="A35" s="348" t="s">
        <v>252</v>
      </c>
      <c r="B35" s="342" t="s">
        <v>441</v>
      </c>
      <c r="C35" s="343" t="s">
        <v>230</v>
      </c>
      <c r="D35" s="456">
        <f t="shared" ref="D35" si="4">22.7/115.6*15</f>
        <v>2.9455017301038064</v>
      </c>
      <c r="E35" s="460"/>
      <c r="F35" s="452">
        <f t="shared" si="0"/>
        <v>0</v>
      </c>
      <c r="G35" s="461"/>
    </row>
    <row r="36" spans="1:7" s="385" customFormat="1" ht="59.25" customHeight="1">
      <c r="A36" s="348" t="s">
        <v>253</v>
      </c>
      <c r="B36" s="356" t="s">
        <v>442</v>
      </c>
      <c r="C36" s="343" t="s">
        <v>230</v>
      </c>
      <c r="D36" s="456">
        <f t="shared" ref="D36" si="5">75/16*2</f>
        <v>9.375</v>
      </c>
      <c r="E36" s="460"/>
      <c r="F36" s="452">
        <f t="shared" si="0"/>
        <v>0</v>
      </c>
      <c r="G36" s="461"/>
    </row>
    <row r="37" spans="1:7" s="385" customFormat="1" ht="50.25" customHeight="1">
      <c r="A37" s="348" t="s">
        <v>373</v>
      </c>
      <c r="B37" s="342" t="s">
        <v>320</v>
      </c>
      <c r="C37" s="343" t="s">
        <v>230</v>
      </c>
      <c r="D37" s="456">
        <f t="shared" ref="D37" si="6">12/115.6*15</f>
        <v>1.5570934256055364</v>
      </c>
      <c r="E37" s="460"/>
      <c r="F37" s="452">
        <f t="shared" si="0"/>
        <v>0</v>
      </c>
      <c r="G37" s="461"/>
    </row>
    <row r="38" spans="1:7" s="385" customFormat="1" ht="58.5" customHeight="1">
      <c r="A38" s="348" t="s">
        <v>254</v>
      </c>
      <c r="B38" s="342" t="s">
        <v>443</v>
      </c>
      <c r="C38" s="343" t="s">
        <v>230</v>
      </c>
      <c r="D38" s="456">
        <f t="shared" ref="D38" si="7">15/16*2</f>
        <v>1.875</v>
      </c>
      <c r="E38" s="460"/>
      <c r="F38" s="452">
        <f t="shared" si="0"/>
        <v>0</v>
      </c>
      <c r="G38" s="461"/>
    </row>
    <row r="39" spans="1:7" s="385" customFormat="1" ht="58.5" customHeight="1">
      <c r="A39" s="348" t="s">
        <v>248</v>
      </c>
      <c r="B39" s="342" t="s">
        <v>444</v>
      </c>
      <c r="C39" s="343" t="s">
        <v>230</v>
      </c>
      <c r="D39" s="456">
        <v>0.1</v>
      </c>
      <c r="E39" s="460"/>
      <c r="F39" s="452">
        <f t="shared" si="0"/>
        <v>0</v>
      </c>
      <c r="G39" s="461"/>
    </row>
    <row r="40" spans="1:7" s="260" customFormat="1">
      <c r="A40" s="348" t="s">
        <v>269</v>
      </c>
      <c r="B40" s="342" t="s">
        <v>231</v>
      </c>
      <c r="C40" s="343"/>
      <c r="D40" s="453"/>
      <c r="E40" s="460"/>
      <c r="F40" s="452">
        <f t="shared" si="0"/>
        <v>0</v>
      </c>
      <c r="G40" s="461"/>
    </row>
    <row r="41" spans="1:7" s="260" customFormat="1" ht="89.25" customHeight="1">
      <c r="A41" s="352" t="s">
        <v>374</v>
      </c>
      <c r="B41" s="353" t="s">
        <v>548</v>
      </c>
      <c r="C41" s="343" t="s">
        <v>230</v>
      </c>
      <c r="D41" s="457">
        <v>86</v>
      </c>
      <c r="E41" s="460"/>
      <c r="F41" s="452">
        <f t="shared" si="0"/>
        <v>0</v>
      </c>
      <c r="G41" s="461"/>
    </row>
    <row r="42" spans="1:7" s="260" customFormat="1" ht="84.75" customHeight="1">
      <c r="A42" s="352" t="s">
        <v>375</v>
      </c>
      <c r="B42" s="353" t="s">
        <v>549</v>
      </c>
      <c r="C42" s="343" t="s">
        <v>230</v>
      </c>
      <c r="D42" s="457">
        <v>41</v>
      </c>
      <c r="E42" s="460"/>
      <c r="F42" s="452">
        <f t="shared" si="0"/>
        <v>0</v>
      </c>
      <c r="G42" s="461"/>
    </row>
    <row r="43" spans="1:7" s="260" customFormat="1" ht="88.5" customHeight="1">
      <c r="A43" s="352" t="s">
        <v>376</v>
      </c>
      <c r="B43" s="353" t="s">
        <v>550</v>
      </c>
      <c r="C43" s="343" t="s">
        <v>230</v>
      </c>
      <c r="D43" s="453">
        <v>7.8</v>
      </c>
      <c r="E43" s="460"/>
      <c r="F43" s="452">
        <f t="shared" si="0"/>
        <v>0</v>
      </c>
      <c r="G43" s="461"/>
    </row>
    <row r="44" spans="1:7" s="260" customFormat="1" ht="93.75" customHeight="1">
      <c r="A44" s="352" t="s">
        <v>377</v>
      </c>
      <c r="B44" s="354" t="s">
        <v>551</v>
      </c>
      <c r="C44" s="343" t="s">
        <v>230</v>
      </c>
      <c r="D44" s="453">
        <f>1*3*0.7</f>
        <v>2.0999999999999996</v>
      </c>
      <c r="E44" s="460"/>
      <c r="F44" s="452">
        <f t="shared" si="0"/>
        <v>0</v>
      </c>
      <c r="G44" s="461"/>
    </row>
    <row r="45" spans="1:7" s="260" customFormat="1" ht="87.75" customHeight="1">
      <c r="A45" s="352" t="s">
        <v>378</v>
      </c>
      <c r="B45" s="354" t="s">
        <v>552</v>
      </c>
      <c r="C45" s="343" t="s">
        <v>230</v>
      </c>
      <c r="D45" s="453">
        <v>1.6</v>
      </c>
      <c r="E45" s="460"/>
      <c r="F45" s="452">
        <f t="shared" si="0"/>
        <v>0</v>
      </c>
      <c r="G45" s="461"/>
    </row>
    <row r="46" spans="1:7" s="260" customFormat="1" ht="30.75" customHeight="1">
      <c r="A46" s="352" t="s">
        <v>379</v>
      </c>
      <c r="B46" s="354" t="s">
        <v>553</v>
      </c>
      <c r="C46" s="343" t="s">
        <v>230</v>
      </c>
      <c r="D46" s="453">
        <v>15.6</v>
      </c>
      <c r="E46" s="460"/>
      <c r="F46" s="452">
        <f t="shared" si="0"/>
        <v>0</v>
      </c>
      <c r="G46" s="461"/>
    </row>
    <row r="47" spans="1:7" s="260" customFormat="1" ht="30" customHeight="1">
      <c r="A47" s="352" t="s">
        <v>382</v>
      </c>
      <c r="B47" s="354" t="s">
        <v>554</v>
      </c>
      <c r="C47" s="343" t="s">
        <v>230</v>
      </c>
      <c r="D47" s="458">
        <f t="shared" ref="D47" si="8">5/115.6*15</f>
        <v>0.6487889273356402</v>
      </c>
      <c r="E47" s="460"/>
      <c r="F47" s="452">
        <f t="shared" si="0"/>
        <v>0</v>
      </c>
      <c r="G47" s="461"/>
    </row>
    <row r="48" spans="1:7" s="260" customFormat="1" ht="47.25" customHeight="1">
      <c r="A48" s="348" t="s">
        <v>341</v>
      </c>
      <c r="B48" s="359" t="s">
        <v>396</v>
      </c>
      <c r="C48" s="343" t="s">
        <v>229</v>
      </c>
      <c r="D48" s="453">
        <v>2</v>
      </c>
      <c r="E48" s="463"/>
      <c r="F48" s="452">
        <f t="shared" si="0"/>
        <v>0</v>
      </c>
      <c r="G48" s="461"/>
    </row>
    <row r="49" spans="1:7" s="260" customFormat="1" ht="52">
      <c r="A49" s="348" t="s">
        <v>245</v>
      </c>
      <c r="B49" s="318" t="s">
        <v>579</v>
      </c>
      <c r="C49" s="343" t="s">
        <v>229</v>
      </c>
      <c r="D49" s="455">
        <f>48+3</f>
        <v>51</v>
      </c>
      <c r="E49" s="463"/>
      <c r="F49" s="452">
        <f t="shared" si="0"/>
        <v>0</v>
      </c>
      <c r="G49" s="461"/>
    </row>
    <row r="50" spans="1:7" s="260" customFormat="1" ht="69.75" customHeight="1">
      <c r="A50" s="348" t="s">
        <v>232</v>
      </c>
      <c r="B50" s="359" t="s">
        <v>411</v>
      </c>
      <c r="C50" s="343" t="s">
        <v>259</v>
      </c>
      <c r="D50" s="454">
        <v>1</v>
      </c>
      <c r="E50" s="463"/>
      <c r="F50" s="452">
        <f t="shared" si="0"/>
        <v>0</v>
      </c>
      <c r="G50" s="461"/>
    </row>
    <row r="51" spans="1:7" s="260" customFormat="1" ht="69.75" customHeight="1">
      <c r="A51" s="348" t="s">
        <v>233</v>
      </c>
      <c r="B51" s="359" t="s">
        <v>412</v>
      </c>
      <c r="C51" s="343" t="s">
        <v>259</v>
      </c>
      <c r="D51" s="454">
        <v>1</v>
      </c>
      <c r="E51" s="463"/>
      <c r="F51" s="452">
        <f t="shared" si="0"/>
        <v>0</v>
      </c>
      <c r="G51" s="461"/>
    </row>
    <row r="52" spans="1:7" s="260" customFormat="1" ht="95.25" customHeight="1">
      <c r="A52" s="348" t="s">
        <v>234</v>
      </c>
      <c r="B52" s="359" t="s">
        <v>413</v>
      </c>
      <c r="C52" s="343" t="s">
        <v>259</v>
      </c>
      <c r="D52" s="454">
        <v>1</v>
      </c>
      <c r="E52" s="463"/>
      <c r="F52" s="452">
        <f t="shared" si="0"/>
        <v>0</v>
      </c>
      <c r="G52" s="461"/>
    </row>
    <row r="53" spans="1:7" s="260" customFormat="1" ht="72.75" customHeight="1">
      <c r="A53" s="348" t="s">
        <v>235</v>
      </c>
      <c r="B53" s="359" t="s">
        <v>400</v>
      </c>
      <c r="C53" s="343" t="s">
        <v>259</v>
      </c>
      <c r="D53" s="454">
        <v>1</v>
      </c>
      <c r="E53" s="463"/>
      <c r="F53" s="452">
        <f t="shared" si="0"/>
        <v>0</v>
      </c>
      <c r="G53" s="461"/>
    </row>
    <row r="54" spans="1:7" s="260" customFormat="1" ht="35.25" customHeight="1">
      <c r="A54" s="348" t="s">
        <v>270</v>
      </c>
      <c r="B54" s="360" t="s">
        <v>453</v>
      </c>
      <c r="C54" s="343" t="s">
        <v>266</v>
      </c>
      <c r="D54" s="453">
        <v>2270</v>
      </c>
      <c r="E54" s="460"/>
      <c r="F54" s="452">
        <f t="shared" si="0"/>
        <v>0</v>
      </c>
      <c r="G54" s="461"/>
    </row>
    <row r="55" spans="1:7" s="260" customFormat="1" ht="39.75" customHeight="1">
      <c r="A55" s="348" t="s">
        <v>271</v>
      </c>
      <c r="B55" s="360" t="s">
        <v>555</v>
      </c>
      <c r="C55" s="343" t="s">
        <v>243</v>
      </c>
      <c r="D55" s="265">
        <v>1</v>
      </c>
      <c r="E55" s="460"/>
      <c r="F55" s="452">
        <f t="shared" si="0"/>
        <v>0</v>
      </c>
      <c r="G55" s="461"/>
    </row>
    <row r="56" spans="1:7" s="260" customFormat="1" ht="53.25" customHeight="1">
      <c r="A56" s="348" t="s">
        <v>236</v>
      </c>
      <c r="B56" s="360" t="s">
        <v>455</v>
      </c>
      <c r="C56" s="343" t="s">
        <v>280</v>
      </c>
      <c r="D56" s="453">
        <v>1000</v>
      </c>
      <c r="E56" s="460"/>
      <c r="F56" s="452">
        <f t="shared" si="0"/>
        <v>0</v>
      </c>
      <c r="G56" s="461"/>
    </row>
    <row r="57" spans="1:7" s="260" customFormat="1" ht="78" customHeight="1">
      <c r="A57" s="348" t="s">
        <v>237</v>
      </c>
      <c r="B57" s="359" t="s">
        <v>298</v>
      </c>
      <c r="C57" s="343" t="s">
        <v>259</v>
      </c>
      <c r="D57" s="453">
        <v>0.3</v>
      </c>
      <c r="E57" s="463"/>
      <c r="F57" s="452">
        <f t="shared" si="0"/>
        <v>0</v>
      </c>
      <c r="G57" s="461"/>
    </row>
    <row r="58" spans="1:7" s="260" customFormat="1" ht="99" customHeight="1" thickBot="1">
      <c r="A58" s="348" t="s">
        <v>346</v>
      </c>
      <c r="B58" s="342" t="s">
        <v>393</v>
      </c>
      <c r="C58" s="343" t="s">
        <v>259</v>
      </c>
      <c r="D58" s="453">
        <v>0.13</v>
      </c>
      <c r="E58" s="463"/>
      <c r="F58" s="452">
        <f t="shared" si="0"/>
        <v>0</v>
      </c>
      <c r="G58" s="461"/>
    </row>
    <row r="59" spans="1:7" s="260" customFormat="1">
      <c r="A59" s="524" t="s">
        <v>615</v>
      </c>
      <c r="B59" s="525"/>
      <c r="C59" s="525"/>
      <c r="D59" s="525"/>
      <c r="E59" s="392"/>
      <c r="F59" s="480">
        <f>SUM(F15:F58)</f>
        <v>0</v>
      </c>
      <c r="G59" s="461"/>
    </row>
    <row r="60" spans="1:7" s="260" customFormat="1">
      <c r="A60" s="526" t="s">
        <v>247</v>
      </c>
      <c r="B60" s="527"/>
      <c r="C60" s="527"/>
      <c r="D60" s="527"/>
      <c r="E60" s="392"/>
      <c r="F60" s="467">
        <f>F59*0.2</f>
        <v>0</v>
      </c>
      <c r="G60" s="461"/>
    </row>
    <row r="61" spans="1:7" s="260" customFormat="1" ht="16" thickBot="1">
      <c r="A61" s="528" t="s">
        <v>616</v>
      </c>
      <c r="B61" s="529"/>
      <c r="C61" s="529"/>
      <c r="D61" s="529"/>
      <c r="E61" s="470"/>
      <c r="F61" s="471">
        <f>F59+F60</f>
        <v>0</v>
      </c>
      <c r="G61" s="466"/>
    </row>
    <row r="62" spans="1:7" s="260" customFormat="1" ht="50.25" customHeight="1" thickBot="1">
      <c r="A62" s="530" t="s">
        <v>219</v>
      </c>
      <c r="B62" s="532" t="s">
        <v>220</v>
      </c>
      <c r="C62" s="534" t="s">
        <v>240</v>
      </c>
      <c r="D62" s="535"/>
      <c r="E62" s="605" t="s">
        <v>221</v>
      </c>
      <c r="F62" s="606"/>
      <c r="G62" s="390"/>
    </row>
    <row r="63" spans="1:7" s="260" customFormat="1" ht="27.65" customHeight="1">
      <c r="A63" s="531"/>
      <c r="B63" s="533"/>
      <c r="C63" s="585" t="s">
        <v>222</v>
      </c>
      <c r="D63" s="586" t="s">
        <v>223</v>
      </c>
      <c r="E63" s="587" t="s">
        <v>610</v>
      </c>
      <c r="F63" s="590" t="s">
        <v>611</v>
      </c>
      <c r="G63" s="618"/>
    </row>
    <row r="64" spans="1:7" s="260" customFormat="1" ht="16" thickBot="1">
      <c r="A64" s="588" t="s">
        <v>301</v>
      </c>
      <c r="B64" s="589"/>
      <c r="C64" s="585"/>
      <c r="D64" s="586"/>
      <c r="E64" s="587"/>
      <c r="F64" s="590"/>
      <c r="G64" s="619"/>
    </row>
    <row r="65" spans="1:7" s="260" customFormat="1" ht="16" thickBot="1">
      <c r="A65" s="365" t="s">
        <v>241</v>
      </c>
      <c r="B65" s="366" t="s">
        <v>304</v>
      </c>
      <c r="C65" s="367" t="s">
        <v>226</v>
      </c>
      <c r="D65" s="346">
        <v>0.13</v>
      </c>
      <c r="E65" s="368"/>
      <c r="F65" s="337">
        <f t="shared" ref="F65:F66" si="9">E65*D65</f>
        <v>0</v>
      </c>
      <c r="G65" s="341"/>
    </row>
    <row r="66" spans="1:7" s="260" customFormat="1" ht="26.5" thickBot="1">
      <c r="A66" s="365" t="s">
        <v>242</v>
      </c>
      <c r="B66" s="369" t="s">
        <v>309</v>
      </c>
      <c r="C66" s="367" t="s">
        <v>226</v>
      </c>
      <c r="D66" s="346">
        <v>0.13</v>
      </c>
      <c r="E66" s="368"/>
      <c r="F66" s="337">
        <f t="shared" si="9"/>
        <v>0</v>
      </c>
      <c r="G66" s="341"/>
    </row>
    <row r="67" spans="1:7" s="260" customFormat="1">
      <c r="A67" s="524" t="s">
        <v>613</v>
      </c>
      <c r="B67" s="525"/>
      <c r="C67" s="525"/>
      <c r="D67" s="525"/>
      <c r="E67" s="333"/>
      <c r="F67" s="262">
        <f>SUM(F65:F66)</f>
        <v>0</v>
      </c>
      <c r="G67" s="249"/>
    </row>
    <row r="68" spans="1:7" s="260" customFormat="1">
      <c r="A68" s="526" t="s">
        <v>247</v>
      </c>
      <c r="B68" s="527"/>
      <c r="C68" s="527"/>
      <c r="D68" s="527"/>
      <c r="E68" s="361"/>
      <c r="F68" s="370">
        <f>F67*0.2</f>
        <v>0</v>
      </c>
      <c r="G68" s="249"/>
    </row>
    <row r="69" spans="1:7" s="260" customFormat="1" ht="16" thickBot="1">
      <c r="A69" s="528" t="s">
        <v>614</v>
      </c>
      <c r="B69" s="529"/>
      <c r="C69" s="529"/>
      <c r="D69" s="529"/>
      <c r="E69" s="363"/>
      <c r="F69" s="371">
        <f>F67+F68</f>
        <v>0</v>
      </c>
      <c r="G69" s="249"/>
    </row>
    <row r="70" spans="1:7">
      <c r="A70" s="388"/>
      <c r="B70" s="345"/>
      <c r="C70" s="373"/>
      <c r="D70" s="372"/>
      <c r="E70" s="373"/>
      <c r="F70" s="373"/>
      <c r="G70" s="261"/>
    </row>
    <row r="71" spans="1:7" ht="16" thickBot="1">
      <c r="A71" s="388"/>
      <c r="B71" s="345"/>
      <c r="C71" s="373"/>
      <c r="D71" s="372"/>
      <c r="E71" s="373"/>
      <c r="F71" s="373"/>
      <c r="G71" s="261"/>
    </row>
    <row r="72" spans="1:7" ht="16" thickBot="1">
      <c r="A72" s="542" t="s">
        <v>330</v>
      </c>
      <c r="B72" s="543"/>
      <c r="C72" s="543"/>
      <c r="D72" s="543"/>
      <c r="E72" s="620"/>
      <c r="F72" s="620"/>
      <c r="G72" s="620"/>
    </row>
    <row r="73" spans="1:7" s="382" customFormat="1" ht="42" customHeight="1" thickBot="1">
      <c r="A73" s="530" t="s">
        <v>219</v>
      </c>
      <c r="B73" s="532" t="s">
        <v>220</v>
      </c>
      <c r="C73" s="544" t="s">
        <v>246</v>
      </c>
      <c r="D73" s="607"/>
      <c r="E73" s="534" t="s">
        <v>221</v>
      </c>
      <c r="F73" s="535"/>
      <c r="G73" s="468"/>
    </row>
    <row r="74" spans="1:7" s="382" customFormat="1" ht="20" customHeight="1">
      <c r="A74" s="531"/>
      <c r="B74" s="533"/>
      <c r="C74" s="547" t="s">
        <v>222</v>
      </c>
      <c r="D74" s="603" t="s">
        <v>223</v>
      </c>
      <c r="E74" s="599" t="s">
        <v>610</v>
      </c>
      <c r="F74" s="587" t="s">
        <v>611</v>
      </c>
      <c r="G74" s="602"/>
    </row>
    <row r="75" spans="1:7" s="382" customFormat="1" ht="17.399999999999999" customHeight="1" thickBot="1">
      <c r="A75" s="588" t="s">
        <v>224</v>
      </c>
      <c r="B75" s="589"/>
      <c r="C75" s="608"/>
      <c r="D75" s="604"/>
      <c r="E75" s="599"/>
      <c r="F75" s="587"/>
      <c r="G75" s="602"/>
    </row>
    <row r="76" spans="1:7" s="260" customFormat="1" ht="84" customHeight="1">
      <c r="A76" s="348" t="s">
        <v>241</v>
      </c>
      <c r="B76" s="360" t="s">
        <v>458</v>
      </c>
      <c r="C76" s="343" t="s">
        <v>227</v>
      </c>
      <c r="D76" s="453">
        <f>170/115.6*17</f>
        <v>25</v>
      </c>
      <c r="E76" s="460"/>
      <c r="F76" s="452">
        <f t="shared" ref="F76:F108" si="10">E76*D76</f>
        <v>0</v>
      </c>
      <c r="G76" s="461"/>
    </row>
    <row r="77" spans="1:7" s="260" customFormat="1" ht="73.5" customHeight="1">
      <c r="A77" s="348" t="s">
        <v>242</v>
      </c>
      <c r="B77" s="360" t="s">
        <v>459</v>
      </c>
      <c r="C77" s="343" t="s">
        <v>266</v>
      </c>
      <c r="D77" s="454">
        <v>3500</v>
      </c>
      <c r="E77" s="460"/>
      <c r="F77" s="452">
        <f t="shared" si="10"/>
        <v>0</v>
      </c>
      <c r="G77" s="461"/>
    </row>
    <row r="78" spans="1:7" s="260" customFormat="1">
      <c r="A78" s="348" t="s">
        <v>249</v>
      </c>
      <c r="B78" s="342" t="s">
        <v>274</v>
      </c>
      <c r="C78" s="343"/>
      <c r="D78" s="453"/>
      <c r="E78" s="460"/>
      <c r="F78" s="452">
        <f t="shared" si="10"/>
        <v>0</v>
      </c>
      <c r="G78" s="461"/>
    </row>
    <row r="79" spans="1:7" s="260" customFormat="1" ht="105.75" customHeight="1">
      <c r="A79" s="352" t="s">
        <v>364</v>
      </c>
      <c r="B79" s="353" t="s">
        <v>460</v>
      </c>
      <c r="C79" s="343" t="s">
        <v>229</v>
      </c>
      <c r="D79" s="454">
        <f>18*D81</f>
        <v>3276</v>
      </c>
      <c r="E79" s="460"/>
      <c r="F79" s="452">
        <f t="shared" si="10"/>
        <v>0</v>
      </c>
      <c r="G79" s="461"/>
    </row>
    <row r="80" spans="1:7" s="260" customFormat="1" ht="107.25" customHeight="1">
      <c r="A80" s="352" t="s">
        <v>365</v>
      </c>
      <c r="B80" s="353" t="s">
        <v>556</v>
      </c>
      <c r="C80" s="343" t="s">
        <v>229</v>
      </c>
      <c r="D80" s="454">
        <f>16*D82</f>
        <v>11792</v>
      </c>
      <c r="E80" s="460"/>
      <c r="F80" s="452">
        <f t="shared" si="10"/>
        <v>0</v>
      </c>
      <c r="G80" s="461"/>
    </row>
    <row r="81" spans="1:7" s="260" customFormat="1" ht="105" customHeight="1">
      <c r="A81" s="352" t="s">
        <v>366</v>
      </c>
      <c r="B81" s="353" t="s">
        <v>557</v>
      </c>
      <c r="C81" s="343" t="s">
        <v>229</v>
      </c>
      <c r="D81" s="454">
        <v>182</v>
      </c>
      <c r="E81" s="460"/>
      <c r="F81" s="452">
        <f t="shared" si="10"/>
        <v>0</v>
      </c>
      <c r="G81" s="461"/>
    </row>
    <row r="82" spans="1:7" s="260" customFormat="1" ht="115.5" customHeight="1">
      <c r="A82" s="352" t="s">
        <v>367</v>
      </c>
      <c r="B82" s="353" t="s">
        <v>558</v>
      </c>
      <c r="C82" s="343" t="s">
        <v>229</v>
      </c>
      <c r="D82" s="454">
        <v>737</v>
      </c>
      <c r="E82" s="460"/>
      <c r="F82" s="452">
        <f t="shared" si="10"/>
        <v>0</v>
      </c>
      <c r="G82" s="461"/>
    </row>
    <row r="83" spans="1:7" s="260" customFormat="1" ht="104">
      <c r="A83" s="352" t="s">
        <v>368</v>
      </c>
      <c r="B83" s="353" t="s">
        <v>574</v>
      </c>
      <c r="C83" s="343" t="s">
        <v>229</v>
      </c>
      <c r="D83" s="454">
        <f>10556+35376</f>
        <v>45932</v>
      </c>
      <c r="E83" s="460"/>
      <c r="F83" s="452">
        <f t="shared" si="10"/>
        <v>0</v>
      </c>
      <c r="G83" s="461"/>
    </row>
    <row r="84" spans="1:7" s="260" customFormat="1" ht="39.75" customHeight="1">
      <c r="A84" s="348" t="s">
        <v>250</v>
      </c>
      <c r="B84" s="355" t="s">
        <v>263</v>
      </c>
      <c r="C84" s="386"/>
      <c r="D84" s="454"/>
      <c r="E84" s="460"/>
      <c r="F84" s="452">
        <f t="shared" si="10"/>
        <v>0</v>
      </c>
      <c r="G84" s="461"/>
    </row>
    <row r="85" spans="1:7" s="260" customFormat="1" ht="115.5" customHeight="1">
      <c r="A85" s="352" t="s">
        <v>369</v>
      </c>
      <c r="B85" s="353" t="s">
        <v>464</v>
      </c>
      <c r="C85" s="343" t="s">
        <v>229</v>
      </c>
      <c r="D85" s="454">
        <v>2</v>
      </c>
      <c r="E85" s="462"/>
      <c r="F85" s="452">
        <f t="shared" si="10"/>
        <v>0</v>
      </c>
      <c r="G85" s="461"/>
    </row>
    <row r="86" spans="1:7" s="260" customFormat="1" ht="87" customHeight="1">
      <c r="A86" s="352" t="s">
        <v>370</v>
      </c>
      <c r="B86" s="353" t="s">
        <v>559</v>
      </c>
      <c r="C86" s="343" t="s">
        <v>229</v>
      </c>
      <c r="D86" s="455">
        <f>55+4</f>
        <v>59</v>
      </c>
      <c r="E86" s="460"/>
      <c r="F86" s="452">
        <f t="shared" si="10"/>
        <v>0</v>
      </c>
      <c r="G86" s="461"/>
    </row>
    <row r="87" spans="1:7" s="260" customFormat="1" ht="18.75" customHeight="1">
      <c r="A87" s="348" t="s">
        <v>251</v>
      </c>
      <c r="B87" s="342" t="s">
        <v>279</v>
      </c>
      <c r="C87" s="386"/>
      <c r="D87" s="453"/>
      <c r="E87" s="460"/>
      <c r="F87" s="452">
        <f t="shared" si="10"/>
        <v>0</v>
      </c>
      <c r="G87" s="461"/>
    </row>
    <row r="88" spans="1:7" s="260" customFormat="1" ht="74.25" customHeight="1">
      <c r="A88" s="352" t="s">
        <v>371</v>
      </c>
      <c r="B88" s="353" t="s">
        <v>414</v>
      </c>
      <c r="C88" s="343" t="s">
        <v>229</v>
      </c>
      <c r="D88" s="453">
        <v>2</v>
      </c>
      <c r="E88" s="460"/>
      <c r="F88" s="452">
        <f t="shared" si="10"/>
        <v>0</v>
      </c>
      <c r="G88" s="461"/>
    </row>
    <row r="89" spans="1:7" s="260" customFormat="1">
      <c r="A89" s="352" t="s">
        <v>372</v>
      </c>
      <c r="B89" s="353" t="s">
        <v>288</v>
      </c>
      <c r="C89" s="343" t="s">
        <v>229</v>
      </c>
      <c r="D89" s="455">
        <f>55+4</f>
        <v>59</v>
      </c>
      <c r="E89" s="460"/>
      <c r="F89" s="452">
        <f t="shared" si="10"/>
        <v>0</v>
      </c>
      <c r="G89" s="461"/>
    </row>
    <row r="90" spans="1:7" s="260" customFormat="1" ht="117" customHeight="1">
      <c r="A90" s="352" t="s">
        <v>277</v>
      </c>
      <c r="B90" s="342" t="s">
        <v>466</v>
      </c>
      <c r="C90" s="343" t="s">
        <v>228</v>
      </c>
      <c r="D90" s="453">
        <v>112</v>
      </c>
      <c r="E90" s="460"/>
      <c r="F90" s="452">
        <f t="shared" si="10"/>
        <v>0</v>
      </c>
      <c r="G90" s="461"/>
    </row>
    <row r="91" spans="1:7" s="260" customFormat="1" ht="28.5" customHeight="1">
      <c r="A91" s="348" t="s">
        <v>580</v>
      </c>
      <c r="B91" s="342" t="s">
        <v>294</v>
      </c>
      <c r="C91" s="343" t="s">
        <v>228</v>
      </c>
      <c r="D91" s="453">
        <v>700</v>
      </c>
      <c r="E91" s="460"/>
      <c r="F91" s="452">
        <f t="shared" si="10"/>
        <v>0</v>
      </c>
      <c r="G91" s="461"/>
    </row>
    <row r="92" spans="1:7" s="260" customFormat="1" ht="36" customHeight="1">
      <c r="A92" s="348" t="s">
        <v>276</v>
      </c>
      <c r="B92" s="342" t="s">
        <v>467</v>
      </c>
      <c r="C92" s="343" t="s">
        <v>230</v>
      </c>
      <c r="D92" s="456">
        <f>22.7/115.6*17</f>
        <v>3.3382352941176472</v>
      </c>
      <c r="E92" s="460"/>
      <c r="F92" s="452">
        <f t="shared" si="10"/>
        <v>0</v>
      </c>
      <c r="G92" s="461"/>
    </row>
    <row r="93" spans="1:7" s="260" customFormat="1" ht="56.25" customHeight="1">
      <c r="A93" s="348" t="s">
        <v>267</v>
      </c>
      <c r="B93" s="356" t="s">
        <v>468</v>
      </c>
      <c r="C93" s="357" t="s">
        <v>230</v>
      </c>
      <c r="D93" s="456">
        <f>56.1/115.6*17</f>
        <v>8.25</v>
      </c>
      <c r="E93" s="460"/>
      <c r="F93" s="452">
        <f t="shared" si="10"/>
        <v>0</v>
      </c>
      <c r="G93" s="461"/>
    </row>
    <row r="94" spans="1:7" s="260" customFormat="1" ht="33.75" customHeight="1">
      <c r="A94" s="348" t="s">
        <v>252</v>
      </c>
      <c r="B94" s="342" t="s">
        <v>469</v>
      </c>
      <c r="C94" s="343" t="s">
        <v>230</v>
      </c>
      <c r="D94" s="456">
        <f>22.7/115.6*17</f>
        <v>3.3382352941176472</v>
      </c>
      <c r="E94" s="460"/>
      <c r="F94" s="452">
        <f t="shared" si="10"/>
        <v>0</v>
      </c>
      <c r="G94" s="461"/>
    </row>
    <row r="95" spans="1:7" s="385" customFormat="1" ht="59.25" customHeight="1">
      <c r="A95" s="348" t="s">
        <v>253</v>
      </c>
      <c r="B95" s="356" t="s">
        <v>383</v>
      </c>
      <c r="C95" s="343" t="s">
        <v>230</v>
      </c>
      <c r="D95" s="456">
        <f t="shared" ref="D95" si="11">75/16*2</f>
        <v>9.375</v>
      </c>
      <c r="E95" s="460"/>
      <c r="F95" s="452">
        <f t="shared" si="10"/>
        <v>0</v>
      </c>
      <c r="G95" s="461"/>
    </row>
    <row r="96" spans="1:7" s="385" customFormat="1" ht="50.25" customHeight="1">
      <c r="A96" s="348" t="s">
        <v>373</v>
      </c>
      <c r="B96" s="342" t="s">
        <v>324</v>
      </c>
      <c r="C96" s="343" t="s">
        <v>230</v>
      </c>
      <c r="D96" s="456">
        <f>12/115.6*17</f>
        <v>1.7647058823529413</v>
      </c>
      <c r="E96" s="460"/>
      <c r="F96" s="452">
        <f t="shared" si="10"/>
        <v>0</v>
      </c>
      <c r="G96" s="461"/>
    </row>
    <row r="97" spans="1:7" s="385" customFormat="1" ht="58.5" customHeight="1">
      <c r="A97" s="348" t="s">
        <v>254</v>
      </c>
      <c r="B97" s="342" t="s">
        <v>470</v>
      </c>
      <c r="C97" s="343" t="s">
        <v>230</v>
      </c>
      <c r="D97" s="456">
        <f t="shared" ref="D97" si="12">15/16*2</f>
        <v>1.875</v>
      </c>
      <c r="E97" s="460"/>
      <c r="F97" s="452">
        <f t="shared" si="10"/>
        <v>0</v>
      </c>
      <c r="G97" s="461"/>
    </row>
    <row r="98" spans="1:7" s="260" customFormat="1">
      <c r="A98" s="348" t="s">
        <v>248</v>
      </c>
      <c r="B98" s="342" t="s">
        <v>231</v>
      </c>
      <c r="C98" s="343"/>
      <c r="D98" s="453"/>
      <c r="E98" s="460"/>
      <c r="F98" s="452">
        <f t="shared" si="10"/>
        <v>0</v>
      </c>
      <c r="G98" s="461"/>
    </row>
    <row r="99" spans="1:7" s="260" customFormat="1" ht="89.25" customHeight="1">
      <c r="A99" s="352" t="s">
        <v>264</v>
      </c>
      <c r="B99" s="353" t="s">
        <v>471</v>
      </c>
      <c r="C99" s="343" t="s">
        <v>230</v>
      </c>
      <c r="D99" s="457">
        <v>97</v>
      </c>
      <c r="E99" s="460"/>
      <c r="F99" s="452">
        <f t="shared" si="10"/>
        <v>0</v>
      </c>
      <c r="G99" s="461"/>
    </row>
    <row r="100" spans="1:7" s="260" customFormat="1" ht="90" customHeight="1">
      <c r="A100" s="352" t="s">
        <v>265</v>
      </c>
      <c r="B100" s="353" t="s">
        <v>472</v>
      </c>
      <c r="C100" s="343" t="s">
        <v>230</v>
      </c>
      <c r="D100" s="457">
        <v>41</v>
      </c>
      <c r="E100" s="460"/>
      <c r="F100" s="452">
        <f t="shared" si="10"/>
        <v>0</v>
      </c>
      <c r="G100" s="461"/>
    </row>
    <row r="101" spans="1:7" s="260" customFormat="1" ht="94.5" customHeight="1">
      <c r="A101" s="352" t="s">
        <v>338</v>
      </c>
      <c r="B101" s="353" t="s">
        <v>473</v>
      </c>
      <c r="C101" s="343" t="s">
        <v>230</v>
      </c>
      <c r="D101" s="453">
        <v>7.8</v>
      </c>
      <c r="E101" s="460"/>
      <c r="F101" s="452">
        <f t="shared" si="10"/>
        <v>0</v>
      </c>
      <c r="G101" s="461"/>
    </row>
    <row r="102" spans="1:7" s="260" customFormat="1" ht="93" customHeight="1">
      <c r="A102" s="352" t="s">
        <v>339</v>
      </c>
      <c r="B102" s="353" t="s">
        <v>474</v>
      </c>
      <c r="C102" s="343" t="s">
        <v>230</v>
      </c>
      <c r="D102" s="453">
        <v>1.6</v>
      </c>
      <c r="E102" s="460"/>
      <c r="F102" s="452">
        <f t="shared" si="10"/>
        <v>0</v>
      </c>
      <c r="G102" s="461"/>
    </row>
    <row r="103" spans="1:7" s="260" customFormat="1" ht="32.25" customHeight="1">
      <c r="A103" s="352" t="s">
        <v>340</v>
      </c>
      <c r="B103" s="353" t="s">
        <v>475</v>
      </c>
      <c r="C103" s="343" t="s">
        <v>230</v>
      </c>
      <c r="D103" s="453">
        <v>17.5</v>
      </c>
      <c r="E103" s="460"/>
      <c r="F103" s="452">
        <f t="shared" si="10"/>
        <v>0</v>
      </c>
      <c r="G103" s="461"/>
    </row>
    <row r="104" spans="1:7" s="260" customFormat="1" ht="34.5" customHeight="1">
      <c r="A104" s="352" t="s">
        <v>342</v>
      </c>
      <c r="B104" s="353" t="s">
        <v>560</v>
      </c>
      <c r="C104" s="343" t="s">
        <v>230</v>
      </c>
      <c r="D104" s="458">
        <f>5/115.6*17</f>
        <v>0.73529411764705888</v>
      </c>
      <c r="E104" s="460"/>
      <c r="F104" s="452">
        <f t="shared" si="10"/>
        <v>0</v>
      </c>
      <c r="G104" s="461"/>
    </row>
    <row r="105" spans="1:7" s="260" customFormat="1" ht="46.5" customHeight="1">
      <c r="A105" s="348" t="s">
        <v>269</v>
      </c>
      <c r="B105" s="374" t="s">
        <v>404</v>
      </c>
      <c r="C105" s="343" t="s">
        <v>229</v>
      </c>
      <c r="D105" s="453">
        <v>2</v>
      </c>
      <c r="E105" s="463"/>
      <c r="F105" s="452">
        <f t="shared" si="10"/>
        <v>0</v>
      </c>
      <c r="G105" s="461"/>
    </row>
    <row r="106" spans="1:7" s="260" customFormat="1" ht="58.25" customHeight="1">
      <c r="A106" s="348" t="s">
        <v>341</v>
      </c>
      <c r="B106" s="318" t="s">
        <v>582</v>
      </c>
      <c r="C106" s="343" t="s">
        <v>229</v>
      </c>
      <c r="D106" s="455">
        <f>55+4</f>
        <v>59</v>
      </c>
      <c r="E106" s="463"/>
      <c r="F106" s="452">
        <f t="shared" si="10"/>
        <v>0</v>
      </c>
      <c r="G106" s="461"/>
    </row>
    <row r="107" spans="1:7" s="260" customFormat="1" ht="50.25" customHeight="1">
      <c r="A107" s="348" t="s">
        <v>245</v>
      </c>
      <c r="B107" s="342" t="s">
        <v>477</v>
      </c>
      <c r="C107" s="343" t="s">
        <v>280</v>
      </c>
      <c r="D107" s="453">
        <v>1000</v>
      </c>
      <c r="E107" s="460"/>
      <c r="F107" s="452">
        <f t="shared" si="10"/>
        <v>0</v>
      </c>
      <c r="G107" s="461"/>
    </row>
    <row r="108" spans="1:7" s="260" customFormat="1" ht="99" customHeight="1" thickBot="1">
      <c r="A108" s="348" t="s">
        <v>232</v>
      </c>
      <c r="B108" s="342" t="s">
        <v>394</v>
      </c>
      <c r="C108" s="343" t="s">
        <v>259</v>
      </c>
      <c r="D108" s="453">
        <v>0.14000000000000001</v>
      </c>
      <c r="E108" s="463"/>
      <c r="F108" s="452">
        <f t="shared" si="10"/>
        <v>0</v>
      </c>
      <c r="G108" s="469"/>
    </row>
    <row r="109" spans="1:7" s="260" customFormat="1">
      <c r="A109" s="524" t="s">
        <v>615</v>
      </c>
      <c r="B109" s="525"/>
      <c r="C109" s="525"/>
      <c r="D109" s="525"/>
      <c r="E109" s="392"/>
      <c r="F109" s="393">
        <f>SUM(F76:F108)</f>
        <v>0</v>
      </c>
      <c r="G109" s="461"/>
    </row>
    <row r="110" spans="1:7" s="260" customFormat="1">
      <c r="A110" s="526" t="s">
        <v>247</v>
      </c>
      <c r="B110" s="527"/>
      <c r="C110" s="527"/>
      <c r="D110" s="527"/>
      <c r="E110" s="392"/>
      <c r="F110" s="467">
        <f>F109*0.2</f>
        <v>0</v>
      </c>
      <c r="G110" s="461"/>
    </row>
    <row r="111" spans="1:7" s="260" customFormat="1" ht="16" thickBot="1">
      <c r="A111" s="528" t="s">
        <v>616</v>
      </c>
      <c r="B111" s="529"/>
      <c r="C111" s="529"/>
      <c r="D111" s="529"/>
      <c r="E111" s="470"/>
      <c r="F111" s="471">
        <f>F109+F110</f>
        <v>0</v>
      </c>
      <c r="G111" s="466"/>
    </row>
    <row r="112" spans="1:7" s="260" customFormat="1" ht="50.25" customHeight="1" thickBot="1">
      <c r="A112" s="530" t="s">
        <v>219</v>
      </c>
      <c r="B112" s="532" t="s">
        <v>220</v>
      </c>
      <c r="C112" s="534" t="s">
        <v>240</v>
      </c>
      <c r="D112" s="535"/>
      <c r="E112" s="605" t="s">
        <v>221</v>
      </c>
      <c r="F112" s="606"/>
      <c r="G112" s="390"/>
    </row>
    <row r="113" spans="1:7" s="260" customFormat="1" ht="27.65" customHeight="1">
      <c r="A113" s="531"/>
      <c r="B113" s="533"/>
      <c r="C113" s="585" t="s">
        <v>222</v>
      </c>
      <c r="D113" s="586" t="s">
        <v>223</v>
      </c>
      <c r="E113" s="587" t="s">
        <v>610</v>
      </c>
      <c r="F113" s="590" t="s">
        <v>611</v>
      </c>
      <c r="G113" s="583"/>
    </row>
    <row r="114" spans="1:7" s="260" customFormat="1" ht="16" thickBot="1">
      <c r="A114" s="588" t="s">
        <v>301</v>
      </c>
      <c r="B114" s="589"/>
      <c r="C114" s="585"/>
      <c r="D114" s="586"/>
      <c r="E114" s="587"/>
      <c r="F114" s="590"/>
      <c r="G114" s="584"/>
    </row>
    <row r="115" spans="1:7" s="260" customFormat="1">
      <c r="A115" s="365" t="s">
        <v>241</v>
      </c>
      <c r="B115" s="366" t="s">
        <v>305</v>
      </c>
      <c r="C115" s="367" t="s">
        <v>226</v>
      </c>
      <c r="D115" s="346">
        <v>0.14000000000000001</v>
      </c>
      <c r="E115" s="368"/>
      <c r="F115" s="338"/>
      <c r="G115" s="336"/>
    </row>
    <row r="116" spans="1:7" s="260" customFormat="1" ht="26.5" thickBot="1">
      <c r="A116" s="365" t="s">
        <v>242</v>
      </c>
      <c r="B116" s="369" t="s">
        <v>310</v>
      </c>
      <c r="C116" s="367" t="s">
        <v>226</v>
      </c>
      <c r="D116" s="346">
        <v>0.14000000000000001</v>
      </c>
      <c r="E116" s="368"/>
      <c r="F116" s="338"/>
      <c r="G116" s="336"/>
    </row>
    <row r="117" spans="1:7" s="260" customFormat="1">
      <c r="A117" s="524" t="s">
        <v>613</v>
      </c>
      <c r="B117" s="525"/>
      <c r="C117" s="525"/>
      <c r="D117" s="525"/>
      <c r="E117" s="333"/>
      <c r="F117" s="262">
        <f>SUM(F115:F116)</f>
        <v>0</v>
      </c>
      <c r="G117" s="249"/>
    </row>
    <row r="118" spans="1:7" s="260" customFormat="1">
      <c r="A118" s="526" t="s">
        <v>247</v>
      </c>
      <c r="B118" s="527"/>
      <c r="C118" s="527"/>
      <c r="D118" s="527"/>
      <c r="E118" s="361"/>
      <c r="F118" s="370">
        <f>F117*0.2</f>
        <v>0</v>
      </c>
      <c r="G118" s="249"/>
    </row>
    <row r="119" spans="1:7" s="260" customFormat="1" ht="16" thickBot="1">
      <c r="A119" s="528" t="s">
        <v>614</v>
      </c>
      <c r="B119" s="529"/>
      <c r="C119" s="529"/>
      <c r="D119" s="529"/>
      <c r="E119" s="363"/>
      <c r="F119" s="371">
        <f>F117+F118</f>
        <v>0</v>
      </c>
      <c r="G119" s="249"/>
    </row>
    <row r="120" spans="1:7" ht="16" thickBot="1">
      <c r="A120" s="388"/>
      <c r="B120" s="345"/>
      <c r="C120" s="373"/>
      <c r="D120" s="372"/>
      <c r="E120" s="373"/>
      <c r="F120" s="379"/>
      <c r="G120" s="261"/>
    </row>
    <row r="121" spans="1:7" ht="16" thickBot="1">
      <c r="A121" s="542" t="s">
        <v>328</v>
      </c>
      <c r="B121" s="543"/>
      <c r="C121" s="543"/>
      <c r="D121" s="543"/>
      <c r="E121" s="543"/>
      <c r="F121" s="543"/>
      <c r="G121" s="543"/>
    </row>
    <row r="122" spans="1:7" s="382" customFormat="1" ht="42" customHeight="1" thickBot="1">
      <c r="A122" s="565" t="s">
        <v>219</v>
      </c>
      <c r="B122" s="565" t="s">
        <v>220</v>
      </c>
      <c r="C122" s="544" t="s">
        <v>246</v>
      </c>
      <c r="D122" s="545"/>
      <c r="E122" s="592" t="s">
        <v>221</v>
      </c>
      <c r="F122" s="593"/>
      <c r="G122" s="451"/>
    </row>
    <row r="123" spans="1:7" s="382" customFormat="1" ht="20" customHeight="1" thickBot="1">
      <c r="A123" s="566"/>
      <c r="B123" s="591"/>
      <c r="C123" s="594" t="s">
        <v>222</v>
      </c>
      <c r="D123" s="596" t="s">
        <v>223</v>
      </c>
      <c r="E123" s="598" t="s">
        <v>610</v>
      </c>
      <c r="F123" s="600" t="s">
        <v>611</v>
      </c>
      <c r="G123" s="601"/>
    </row>
    <row r="124" spans="1:7" s="382" customFormat="1" ht="17.399999999999999" customHeight="1" thickBot="1">
      <c r="A124" s="567" t="s">
        <v>224</v>
      </c>
      <c r="B124" s="568"/>
      <c r="C124" s="595"/>
      <c r="D124" s="597"/>
      <c r="E124" s="599"/>
      <c r="F124" s="587"/>
      <c r="G124" s="602"/>
    </row>
    <row r="125" spans="1:7" s="260" customFormat="1" ht="79.5" customHeight="1">
      <c r="A125" s="339" t="s">
        <v>241</v>
      </c>
      <c r="B125" s="335" t="s">
        <v>478</v>
      </c>
      <c r="C125" s="344" t="s">
        <v>227</v>
      </c>
      <c r="D125" s="453">
        <v>8</v>
      </c>
      <c r="E125" s="460"/>
      <c r="F125" s="452">
        <f t="shared" ref="F125:F158" si="13">E125*D125</f>
        <v>0</v>
      </c>
      <c r="G125" s="461"/>
    </row>
    <row r="126" spans="1:7" s="260" customFormat="1" ht="84" customHeight="1">
      <c r="A126" s="348" t="s">
        <v>242</v>
      </c>
      <c r="B126" s="342" t="s">
        <v>561</v>
      </c>
      <c r="C126" s="343" t="s">
        <v>266</v>
      </c>
      <c r="D126" s="454">
        <v>1300</v>
      </c>
      <c r="E126" s="460"/>
      <c r="F126" s="452">
        <f t="shared" si="13"/>
        <v>0</v>
      </c>
      <c r="G126" s="461"/>
    </row>
    <row r="127" spans="1:7" s="260" customFormat="1">
      <c r="A127" s="348" t="s">
        <v>249</v>
      </c>
      <c r="B127" s="342" t="s">
        <v>274</v>
      </c>
      <c r="C127" s="349"/>
      <c r="D127" s="453"/>
      <c r="E127" s="460"/>
      <c r="F127" s="452">
        <f t="shared" si="13"/>
        <v>0</v>
      </c>
      <c r="G127" s="461"/>
    </row>
    <row r="128" spans="1:7" s="260" customFormat="1" ht="108.75" customHeight="1">
      <c r="A128" s="352" t="s">
        <v>364</v>
      </c>
      <c r="B128" s="353" t="s">
        <v>562</v>
      </c>
      <c r="C128" s="349" t="s">
        <v>229</v>
      </c>
      <c r="D128" s="454">
        <f>18*D130</f>
        <v>1080</v>
      </c>
      <c r="E128" s="460"/>
      <c r="F128" s="452">
        <f t="shared" si="13"/>
        <v>0</v>
      </c>
      <c r="G128" s="461"/>
    </row>
    <row r="129" spans="1:7" s="260" customFormat="1" ht="109.5" customHeight="1">
      <c r="A129" s="352" t="s">
        <v>365</v>
      </c>
      <c r="B129" s="353" t="s">
        <v>563</v>
      </c>
      <c r="C129" s="349" t="s">
        <v>229</v>
      </c>
      <c r="D129" s="454">
        <f>16*D131</f>
        <v>3888</v>
      </c>
      <c r="E129" s="460"/>
      <c r="F129" s="452">
        <f t="shared" si="13"/>
        <v>0</v>
      </c>
      <c r="G129" s="461"/>
    </row>
    <row r="130" spans="1:7" s="260" customFormat="1" ht="107.25" customHeight="1">
      <c r="A130" s="352" t="s">
        <v>366</v>
      </c>
      <c r="B130" s="353" t="s">
        <v>564</v>
      </c>
      <c r="C130" s="349" t="s">
        <v>229</v>
      </c>
      <c r="D130" s="454">
        <v>60</v>
      </c>
      <c r="E130" s="460"/>
      <c r="F130" s="452">
        <f t="shared" si="13"/>
        <v>0</v>
      </c>
      <c r="G130" s="461"/>
    </row>
    <row r="131" spans="1:7" s="260" customFormat="1" ht="117" customHeight="1">
      <c r="A131" s="352" t="s">
        <v>367</v>
      </c>
      <c r="B131" s="353" t="s">
        <v>565</v>
      </c>
      <c r="C131" s="349" t="s">
        <v>229</v>
      </c>
      <c r="D131" s="454">
        <v>243</v>
      </c>
      <c r="E131" s="460"/>
      <c r="F131" s="452">
        <f t="shared" si="13"/>
        <v>0</v>
      </c>
      <c r="G131" s="461"/>
    </row>
    <row r="132" spans="1:7" s="260" customFormat="1" ht="104">
      <c r="A132" s="352" t="s">
        <v>368</v>
      </c>
      <c r="B132" s="353" t="s">
        <v>575</v>
      </c>
      <c r="C132" s="349" t="s">
        <v>229</v>
      </c>
      <c r="D132" s="454">
        <f>3480+11664</f>
        <v>15144</v>
      </c>
      <c r="E132" s="460"/>
      <c r="F132" s="452">
        <f t="shared" si="13"/>
        <v>0</v>
      </c>
      <c r="G132" s="461"/>
    </row>
    <row r="133" spans="1:7" s="260" customFormat="1" ht="39.75" customHeight="1">
      <c r="A133" s="348" t="s">
        <v>250</v>
      </c>
      <c r="B133" s="355" t="s">
        <v>263</v>
      </c>
      <c r="C133" s="383"/>
      <c r="D133" s="454"/>
      <c r="E133" s="460"/>
      <c r="F133" s="452">
        <f t="shared" si="13"/>
        <v>0</v>
      </c>
      <c r="G133" s="461"/>
    </row>
    <row r="134" spans="1:7" s="260" customFormat="1" ht="112.5" customHeight="1">
      <c r="A134" s="352" t="s">
        <v>369</v>
      </c>
      <c r="B134" s="353" t="s">
        <v>484</v>
      </c>
      <c r="C134" s="349" t="s">
        <v>229</v>
      </c>
      <c r="D134" s="454">
        <v>1</v>
      </c>
      <c r="E134" s="462"/>
      <c r="F134" s="452">
        <f t="shared" si="13"/>
        <v>0</v>
      </c>
      <c r="G134" s="461"/>
    </row>
    <row r="135" spans="1:7" s="260" customFormat="1" ht="89.25" customHeight="1">
      <c r="A135" s="352" t="s">
        <v>370</v>
      </c>
      <c r="B135" s="353" t="s">
        <v>485</v>
      </c>
      <c r="C135" s="349" t="s">
        <v>229</v>
      </c>
      <c r="D135" s="455">
        <f>20+3</f>
        <v>23</v>
      </c>
      <c r="E135" s="460"/>
      <c r="F135" s="452">
        <f t="shared" si="13"/>
        <v>0</v>
      </c>
      <c r="G135" s="461"/>
    </row>
    <row r="136" spans="1:7" s="260" customFormat="1">
      <c r="A136" s="348" t="s">
        <v>251</v>
      </c>
      <c r="B136" s="342" t="s">
        <v>279</v>
      </c>
      <c r="C136" s="383"/>
      <c r="D136" s="453"/>
      <c r="E136" s="460"/>
      <c r="F136" s="452">
        <f t="shared" si="13"/>
        <v>0</v>
      </c>
      <c r="G136" s="461"/>
    </row>
    <row r="137" spans="1:7" s="260" customFormat="1" ht="74.25" customHeight="1">
      <c r="A137" s="352" t="s">
        <v>371</v>
      </c>
      <c r="B137" s="353" t="s">
        <v>286</v>
      </c>
      <c r="C137" s="349" t="s">
        <v>229</v>
      </c>
      <c r="D137" s="453">
        <v>1</v>
      </c>
      <c r="E137" s="460"/>
      <c r="F137" s="452">
        <f t="shared" si="13"/>
        <v>0</v>
      </c>
      <c r="G137" s="461"/>
    </row>
    <row r="138" spans="1:7" s="260" customFormat="1">
      <c r="A138" s="352" t="s">
        <v>372</v>
      </c>
      <c r="B138" s="353" t="s">
        <v>289</v>
      </c>
      <c r="C138" s="349" t="s">
        <v>229</v>
      </c>
      <c r="D138" s="455">
        <f>20+3</f>
        <v>23</v>
      </c>
      <c r="E138" s="460"/>
      <c r="F138" s="452">
        <f t="shared" si="13"/>
        <v>0</v>
      </c>
      <c r="G138" s="461"/>
    </row>
    <row r="139" spans="1:7" s="260" customFormat="1" ht="120" customHeight="1">
      <c r="A139" s="352" t="s">
        <v>277</v>
      </c>
      <c r="B139" s="342" t="s">
        <v>486</v>
      </c>
      <c r="C139" s="349" t="s">
        <v>229</v>
      </c>
      <c r="D139" s="455">
        <v>37</v>
      </c>
      <c r="E139" s="460"/>
      <c r="F139" s="452">
        <f t="shared" si="13"/>
        <v>0</v>
      </c>
      <c r="G139" s="461"/>
    </row>
    <row r="140" spans="1:7" s="260" customFormat="1" ht="30" customHeight="1">
      <c r="A140" s="348" t="s">
        <v>580</v>
      </c>
      <c r="B140" s="342" t="s">
        <v>295</v>
      </c>
      <c r="C140" s="349" t="s">
        <v>228</v>
      </c>
      <c r="D140" s="453">
        <v>232</v>
      </c>
      <c r="E140" s="460"/>
      <c r="F140" s="452">
        <f t="shared" si="13"/>
        <v>0</v>
      </c>
      <c r="G140" s="461"/>
    </row>
    <row r="141" spans="1:7" s="260" customFormat="1" ht="33" customHeight="1">
      <c r="A141" s="348" t="s">
        <v>276</v>
      </c>
      <c r="B141" s="342" t="s">
        <v>487</v>
      </c>
      <c r="C141" s="349" t="s">
        <v>230</v>
      </c>
      <c r="D141" s="456">
        <f>22.7/115.6*5.6</f>
        <v>1.0996539792387543</v>
      </c>
      <c r="E141" s="460"/>
      <c r="F141" s="452">
        <f t="shared" si="13"/>
        <v>0</v>
      </c>
      <c r="G141" s="461"/>
    </row>
    <row r="142" spans="1:7" s="260" customFormat="1" ht="62.25" customHeight="1">
      <c r="A142" s="348" t="s">
        <v>267</v>
      </c>
      <c r="B142" s="356" t="s">
        <v>488</v>
      </c>
      <c r="C142" s="375" t="s">
        <v>230</v>
      </c>
      <c r="D142" s="456">
        <f>56.1/115.6*5.6</f>
        <v>2.7176470588235295</v>
      </c>
      <c r="E142" s="460"/>
      <c r="F142" s="452">
        <f t="shared" si="13"/>
        <v>0</v>
      </c>
      <c r="G142" s="461"/>
    </row>
    <row r="143" spans="1:7" s="260" customFormat="1" ht="33.75" customHeight="1">
      <c r="A143" s="348" t="s">
        <v>252</v>
      </c>
      <c r="B143" s="342" t="s">
        <v>489</v>
      </c>
      <c r="C143" s="349" t="s">
        <v>230</v>
      </c>
      <c r="D143" s="456">
        <f>22.7/115.6*5.6</f>
        <v>1.0996539792387543</v>
      </c>
      <c r="E143" s="460"/>
      <c r="F143" s="452">
        <f t="shared" si="13"/>
        <v>0</v>
      </c>
      <c r="G143" s="461"/>
    </row>
    <row r="144" spans="1:7" s="385" customFormat="1" ht="59.25" customHeight="1">
      <c r="A144" s="348" t="s">
        <v>253</v>
      </c>
      <c r="B144" s="356" t="s">
        <v>490</v>
      </c>
      <c r="C144" s="349" t="s">
        <v>230</v>
      </c>
      <c r="D144" s="456">
        <f>75/16*1</f>
        <v>4.6875</v>
      </c>
      <c r="E144" s="460"/>
      <c r="F144" s="452">
        <f t="shared" si="13"/>
        <v>0</v>
      </c>
      <c r="G144" s="461"/>
    </row>
    <row r="145" spans="1:7" s="385" customFormat="1" ht="50.25" customHeight="1">
      <c r="A145" s="348" t="s">
        <v>373</v>
      </c>
      <c r="B145" s="342" t="s">
        <v>325</v>
      </c>
      <c r="C145" s="349" t="s">
        <v>230</v>
      </c>
      <c r="D145" s="456">
        <f>12/115.6*5.6</f>
        <v>0.58131487889273359</v>
      </c>
      <c r="E145" s="460"/>
      <c r="F145" s="452">
        <f t="shared" si="13"/>
        <v>0</v>
      </c>
      <c r="G145" s="461"/>
    </row>
    <row r="146" spans="1:7" s="385" customFormat="1" ht="58.5" customHeight="1">
      <c r="A146" s="348" t="s">
        <v>254</v>
      </c>
      <c r="B146" s="342" t="s">
        <v>491</v>
      </c>
      <c r="C146" s="349" t="s">
        <v>230</v>
      </c>
      <c r="D146" s="456">
        <f>15/16*1</f>
        <v>0.9375</v>
      </c>
      <c r="E146" s="460"/>
      <c r="F146" s="452">
        <f t="shared" si="13"/>
        <v>0</v>
      </c>
      <c r="G146" s="461"/>
    </row>
    <row r="147" spans="1:7" s="260" customFormat="1">
      <c r="A147" s="348" t="s">
        <v>248</v>
      </c>
      <c r="B147" s="342" t="s">
        <v>231</v>
      </c>
      <c r="C147" s="349"/>
      <c r="D147" s="453"/>
      <c r="E147" s="460"/>
      <c r="F147" s="452">
        <f t="shared" si="13"/>
        <v>0</v>
      </c>
      <c r="G147" s="461"/>
    </row>
    <row r="148" spans="1:7" s="260" customFormat="1" ht="93" customHeight="1">
      <c r="A148" s="352" t="s">
        <v>264</v>
      </c>
      <c r="B148" s="353" t="s">
        <v>566</v>
      </c>
      <c r="C148" s="349" t="s">
        <v>230</v>
      </c>
      <c r="D148" s="457">
        <v>32</v>
      </c>
      <c r="E148" s="460"/>
      <c r="F148" s="452">
        <f t="shared" si="13"/>
        <v>0</v>
      </c>
      <c r="G148" s="461"/>
    </row>
    <row r="149" spans="1:7" s="260" customFormat="1" ht="90" customHeight="1">
      <c r="A149" s="352" t="s">
        <v>265</v>
      </c>
      <c r="B149" s="353" t="s">
        <v>567</v>
      </c>
      <c r="C149" s="349" t="s">
        <v>230</v>
      </c>
      <c r="D149" s="457">
        <v>22</v>
      </c>
      <c r="E149" s="460"/>
      <c r="F149" s="452">
        <f t="shared" si="13"/>
        <v>0</v>
      </c>
      <c r="G149" s="461"/>
    </row>
    <row r="150" spans="1:7" s="260" customFormat="1" ht="87" customHeight="1">
      <c r="A150" s="352" t="s">
        <v>338</v>
      </c>
      <c r="B150" s="353" t="s">
        <v>568</v>
      </c>
      <c r="C150" s="349" t="s">
        <v>230</v>
      </c>
      <c r="D150" s="453">
        <v>4</v>
      </c>
      <c r="E150" s="460"/>
      <c r="F150" s="452">
        <f t="shared" si="13"/>
        <v>0</v>
      </c>
      <c r="G150" s="461"/>
    </row>
    <row r="151" spans="1:7" s="260" customFormat="1" ht="87.75" customHeight="1">
      <c r="A151" s="352" t="s">
        <v>339</v>
      </c>
      <c r="B151" s="353" t="s">
        <v>569</v>
      </c>
      <c r="C151" s="349" t="s">
        <v>230</v>
      </c>
      <c r="D151" s="453">
        <v>0.8</v>
      </c>
      <c r="E151" s="460"/>
      <c r="F151" s="452">
        <f t="shared" si="13"/>
        <v>0</v>
      </c>
      <c r="G151" s="461"/>
    </row>
    <row r="152" spans="1:7" s="260" customFormat="1" ht="33" customHeight="1">
      <c r="A152" s="352" t="s">
        <v>340</v>
      </c>
      <c r="B152" s="353" t="s">
        <v>570</v>
      </c>
      <c r="C152" s="349" t="s">
        <v>230</v>
      </c>
      <c r="D152" s="453">
        <v>5.8</v>
      </c>
      <c r="E152" s="460"/>
      <c r="F152" s="452">
        <f t="shared" si="13"/>
        <v>0</v>
      </c>
      <c r="G152" s="461"/>
    </row>
    <row r="153" spans="1:7" s="260" customFormat="1" ht="33.75" customHeight="1">
      <c r="A153" s="352" t="s">
        <v>342</v>
      </c>
      <c r="B153" s="353" t="s">
        <v>571</v>
      </c>
      <c r="C153" s="349" t="s">
        <v>230</v>
      </c>
      <c r="D153" s="458">
        <f>5/115.6*5.6</f>
        <v>0.24221453287197231</v>
      </c>
      <c r="E153" s="460"/>
      <c r="F153" s="452">
        <f t="shared" si="13"/>
        <v>0</v>
      </c>
      <c r="G153" s="461"/>
    </row>
    <row r="154" spans="1:7" s="260" customFormat="1" ht="45.75" customHeight="1">
      <c r="A154" s="348" t="s">
        <v>269</v>
      </c>
      <c r="B154" s="374" t="s">
        <v>406</v>
      </c>
      <c r="C154" s="349" t="s">
        <v>229</v>
      </c>
      <c r="D154" s="453">
        <v>1</v>
      </c>
      <c r="E154" s="463"/>
      <c r="F154" s="452">
        <f t="shared" si="13"/>
        <v>0</v>
      </c>
      <c r="G154" s="461"/>
    </row>
    <row r="155" spans="1:7" s="260" customFormat="1" ht="55.75" customHeight="1">
      <c r="A155" s="348" t="s">
        <v>341</v>
      </c>
      <c r="B155" s="318" t="s">
        <v>581</v>
      </c>
      <c r="C155" s="349" t="s">
        <v>229</v>
      </c>
      <c r="D155" s="455">
        <f>20+3</f>
        <v>23</v>
      </c>
      <c r="E155" s="463"/>
      <c r="F155" s="452">
        <f t="shared" si="13"/>
        <v>0</v>
      </c>
      <c r="G155" s="461"/>
    </row>
    <row r="156" spans="1:7" s="260" customFormat="1" ht="27" customHeight="1">
      <c r="A156" s="348" t="s">
        <v>245</v>
      </c>
      <c r="B156" s="374" t="s">
        <v>384</v>
      </c>
      <c r="C156" s="349" t="s">
        <v>266</v>
      </c>
      <c r="D156" s="454">
        <v>750</v>
      </c>
      <c r="E156" s="463"/>
      <c r="F156" s="452">
        <f t="shared" si="13"/>
        <v>0</v>
      </c>
      <c r="G156" s="461"/>
    </row>
    <row r="157" spans="1:7" s="260" customFormat="1" ht="46.5" customHeight="1">
      <c r="A157" s="348" t="s">
        <v>232</v>
      </c>
      <c r="B157" s="342" t="s">
        <v>498</v>
      </c>
      <c r="C157" s="349" t="s">
        <v>280</v>
      </c>
      <c r="D157" s="453">
        <v>1000</v>
      </c>
      <c r="E157" s="460"/>
      <c r="F157" s="452">
        <f t="shared" si="13"/>
        <v>0</v>
      </c>
      <c r="G157" s="461"/>
    </row>
    <row r="158" spans="1:7" s="260" customFormat="1" ht="99" customHeight="1" thickBot="1">
      <c r="A158" s="348" t="s">
        <v>233</v>
      </c>
      <c r="B158" s="342" t="s">
        <v>391</v>
      </c>
      <c r="C158" s="376" t="s">
        <v>259</v>
      </c>
      <c r="D158" s="459">
        <v>0.06</v>
      </c>
      <c r="E158" s="464"/>
      <c r="F158" s="465">
        <f t="shared" si="13"/>
        <v>0</v>
      </c>
      <c r="G158" s="466"/>
    </row>
    <row r="159" spans="1:7" s="260" customFormat="1">
      <c r="A159" s="524" t="s">
        <v>615</v>
      </c>
      <c r="B159" s="525"/>
      <c r="C159" s="525"/>
      <c r="D159" s="525"/>
      <c r="E159" s="330"/>
      <c r="F159" s="479">
        <f>SUM(F125:F158)</f>
        <v>0</v>
      </c>
      <c r="G159" s="249"/>
    </row>
    <row r="160" spans="1:7" s="260" customFormat="1">
      <c r="A160" s="526" t="s">
        <v>247</v>
      </c>
      <c r="B160" s="527"/>
      <c r="C160" s="527"/>
      <c r="D160" s="527"/>
      <c r="E160" s="361"/>
      <c r="F160" s="362">
        <f>F159*0.2</f>
        <v>0</v>
      </c>
      <c r="G160" s="249"/>
    </row>
    <row r="161" spans="1:7" s="260" customFormat="1" ht="16" thickBot="1">
      <c r="A161" s="528" t="s">
        <v>616</v>
      </c>
      <c r="B161" s="529"/>
      <c r="C161" s="529"/>
      <c r="D161" s="529"/>
      <c r="E161" s="363"/>
      <c r="F161" s="364">
        <f>F159+F160</f>
        <v>0</v>
      </c>
      <c r="G161" s="249"/>
    </row>
    <row r="162" spans="1:7" s="260" customFormat="1" ht="50.25" customHeight="1" thickBot="1">
      <c r="A162" s="530" t="s">
        <v>219</v>
      </c>
      <c r="B162" s="532" t="s">
        <v>220</v>
      </c>
      <c r="C162" s="534" t="s">
        <v>240</v>
      </c>
      <c r="D162" s="535"/>
      <c r="E162" s="536" t="s">
        <v>221</v>
      </c>
      <c r="F162" s="537"/>
      <c r="G162" s="390"/>
    </row>
    <row r="163" spans="1:7" s="260" customFormat="1" ht="27.65" customHeight="1">
      <c r="A163" s="531"/>
      <c r="B163" s="533"/>
      <c r="C163" s="585" t="s">
        <v>222</v>
      </c>
      <c r="D163" s="586" t="s">
        <v>223</v>
      </c>
      <c r="E163" s="587" t="s">
        <v>610</v>
      </c>
      <c r="F163" s="590" t="s">
        <v>611</v>
      </c>
      <c r="G163" s="583"/>
    </row>
    <row r="164" spans="1:7" s="260" customFormat="1" ht="16" thickBot="1">
      <c r="A164" s="588" t="s">
        <v>301</v>
      </c>
      <c r="B164" s="589"/>
      <c r="C164" s="585"/>
      <c r="D164" s="586"/>
      <c r="E164" s="587"/>
      <c r="F164" s="590"/>
      <c r="G164" s="584"/>
    </row>
    <row r="165" spans="1:7" s="260" customFormat="1" ht="16" thickBot="1">
      <c r="A165" s="365" t="s">
        <v>241</v>
      </c>
      <c r="B165" s="366" t="s">
        <v>306</v>
      </c>
      <c r="C165" s="367" t="s">
        <v>226</v>
      </c>
      <c r="D165" s="346">
        <v>0.06</v>
      </c>
      <c r="E165" s="368"/>
      <c r="F165" s="337">
        <f t="shared" ref="F165:F166" si="14">E165*D165</f>
        <v>0</v>
      </c>
      <c r="G165" s="336"/>
    </row>
    <row r="166" spans="1:7" s="260" customFormat="1" ht="26.5" thickBot="1">
      <c r="A166" s="365" t="s">
        <v>242</v>
      </c>
      <c r="B166" s="369" t="s">
        <v>311</v>
      </c>
      <c r="C166" s="377" t="s">
        <v>226</v>
      </c>
      <c r="D166" s="346">
        <v>0.06</v>
      </c>
      <c r="E166" s="368"/>
      <c r="F166" s="337">
        <f t="shared" si="14"/>
        <v>0</v>
      </c>
      <c r="G166" s="336"/>
    </row>
    <row r="167" spans="1:7" s="260" customFormat="1">
      <c r="A167" s="524" t="s">
        <v>613</v>
      </c>
      <c r="B167" s="525"/>
      <c r="C167" s="525"/>
      <c r="D167" s="525"/>
      <c r="E167" s="333"/>
      <c r="F167" s="262">
        <f>SUM(F165:F166)</f>
        <v>0</v>
      </c>
      <c r="G167" s="249"/>
    </row>
    <row r="168" spans="1:7" s="260" customFormat="1">
      <c r="A168" s="526" t="s">
        <v>247</v>
      </c>
      <c r="B168" s="527"/>
      <c r="C168" s="527"/>
      <c r="D168" s="527"/>
      <c r="E168" s="361"/>
      <c r="F168" s="370">
        <f>F167*0.2</f>
        <v>0</v>
      </c>
      <c r="G168" s="249"/>
    </row>
    <row r="169" spans="1:7" s="260" customFormat="1" ht="16" thickBot="1">
      <c r="A169" s="528" t="s">
        <v>614</v>
      </c>
      <c r="B169" s="529"/>
      <c r="C169" s="529"/>
      <c r="D169" s="529"/>
      <c r="E169" s="363"/>
      <c r="F169" s="371">
        <f>F167+F168</f>
        <v>0</v>
      </c>
      <c r="G169" s="378"/>
    </row>
    <row r="170" spans="1:7" s="260" customFormat="1">
      <c r="A170" s="448"/>
      <c r="B170" s="449"/>
      <c r="C170" s="449"/>
      <c r="D170" s="449"/>
      <c r="E170" s="449"/>
      <c r="F170" s="450"/>
      <c r="G170" s="249"/>
    </row>
    <row r="171" spans="1:7" ht="27.75" customHeight="1">
      <c r="A171" s="413"/>
      <c r="B171" s="580" t="s">
        <v>612</v>
      </c>
      <c r="C171" s="580"/>
      <c r="D171" s="580"/>
      <c r="E171" s="580"/>
      <c r="F171" s="414">
        <f>F167+F159+F117+F109+F67+F59</f>
        <v>0</v>
      </c>
      <c r="G171" s="258"/>
    </row>
    <row r="173" spans="1:7" ht="21" customHeight="1">
      <c r="A173" s="582" t="s">
        <v>592</v>
      </c>
      <c r="B173" s="582"/>
      <c r="C173" s="582"/>
      <c r="D173" s="582"/>
      <c r="E173" s="582"/>
      <c r="F173" s="582"/>
      <c r="G173" s="582"/>
    </row>
    <row r="174" spans="1:7" ht="21" customHeight="1">
      <c r="A174" s="577" t="s">
        <v>593</v>
      </c>
      <c r="B174" s="577"/>
      <c r="C174" s="578" t="s">
        <v>594</v>
      </c>
      <c r="D174" s="578"/>
      <c r="E174" s="578"/>
      <c r="F174" s="578"/>
      <c r="G174" s="578"/>
    </row>
    <row r="175" spans="1:7" ht="21" customHeight="1">
      <c r="A175" s="577" t="s">
        <v>595</v>
      </c>
      <c r="B175" s="577"/>
      <c r="C175" s="578" t="s">
        <v>596</v>
      </c>
      <c r="D175" s="578"/>
      <c r="E175" s="578"/>
      <c r="F175" s="578"/>
      <c r="G175" s="578"/>
    </row>
    <row r="176" spans="1:7" ht="86.25" customHeight="1">
      <c r="A176" s="577" t="s">
        <v>597</v>
      </c>
      <c r="B176" s="577"/>
      <c r="C176" s="578" t="s">
        <v>609</v>
      </c>
      <c r="D176" s="578"/>
      <c r="E176" s="578"/>
      <c r="F176" s="578"/>
      <c r="G176" s="578"/>
    </row>
    <row r="177" spans="1:7" ht="30.75" customHeight="1">
      <c r="A177" s="577" t="s">
        <v>598</v>
      </c>
      <c r="B177" s="577"/>
      <c r="C177" s="579" t="s">
        <v>599</v>
      </c>
      <c r="D177" s="579"/>
      <c r="E177" s="579"/>
      <c r="F177" s="579"/>
      <c r="G177" s="579"/>
    </row>
    <row r="178" spans="1:7" ht="31.5" customHeight="1">
      <c r="A178" s="577" t="s">
        <v>600</v>
      </c>
      <c r="B178" s="577"/>
      <c r="C178" s="579" t="s">
        <v>601</v>
      </c>
      <c r="D178" s="579"/>
      <c r="E178" s="579"/>
      <c r="F178" s="579"/>
      <c r="G178" s="579"/>
    </row>
    <row r="179" spans="1:7">
      <c r="A179" s="439"/>
      <c r="B179" s="439"/>
      <c r="C179" s="440"/>
      <c r="D179" s="441"/>
      <c r="E179" s="440"/>
      <c r="F179" s="440"/>
      <c r="G179" s="440"/>
    </row>
    <row r="180" spans="1:7">
      <c r="A180" s="576" t="s">
        <v>602</v>
      </c>
      <c r="B180" s="576"/>
      <c r="C180" s="576" t="s">
        <v>603</v>
      </c>
      <c r="D180" s="576"/>
      <c r="E180" s="576"/>
      <c r="F180" s="576"/>
      <c r="G180" s="576"/>
    </row>
    <row r="181" spans="1:7">
      <c r="A181" s="575" t="s">
        <v>604</v>
      </c>
      <c r="B181" s="575"/>
      <c r="C181" s="442"/>
      <c r="D181" s="443" t="s">
        <v>605</v>
      </c>
      <c r="E181" s="442"/>
      <c r="F181" s="444" t="s">
        <v>606</v>
      </c>
      <c r="G181" s="445"/>
    </row>
    <row r="182" spans="1:7">
      <c r="A182" s="575"/>
      <c r="B182" s="575"/>
      <c r="C182" s="576" t="s">
        <v>607</v>
      </c>
      <c r="D182" s="576"/>
      <c r="E182" s="446"/>
      <c r="F182" s="446"/>
      <c r="G182" s="447"/>
    </row>
  </sheetData>
  <mergeCells count="100">
    <mergeCell ref="A181:B181"/>
    <mergeCell ref="A182:B182"/>
    <mergeCell ref="C182:D182"/>
    <mergeCell ref="B171:E171"/>
    <mergeCell ref="A173:G173"/>
    <mergeCell ref="A174:B174"/>
    <mergeCell ref="C174:G174"/>
    <mergeCell ref="A175:B175"/>
    <mergeCell ref="C175:G175"/>
    <mergeCell ref="A176:B176"/>
    <mergeCell ref="C176:G176"/>
    <mergeCell ref="A177:B177"/>
    <mergeCell ref="C177:G177"/>
    <mergeCell ref="A178:B178"/>
    <mergeCell ref="C178:G178"/>
    <mergeCell ref="A180:B180"/>
    <mergeCell ref="C180:G180"/>
    <mergeCell ref="A14:B14"/>
    <mergeCell ref="A9:G9"/>
    <mergeCell ref="A12:A13"/>
    <mergeCell ref="B12:B13"/>
    <mergeCell ref="C12:D12"/>
    <mergeCell ref="E12:F12"/>
    <mergeCell ref="A11:G11"/>
    <mergeCell ref="F13:F14"/>
    <mergeCell ref="G63:G64"/>
    <mergeCell ref="A67:D67"/>
    <mergeCell ref="A68:D68"/>
    <mergeCell ref="A69:D69"/>
    <mergeCell ref="A72:G72"/>
    <mergeCell ref="E63:E64"/>
    <mergeCell ref="F63:F64"/>
    <mergeCell ref="C2:E2"/>
    <mergeCell ref="G12:G14"/>
    <mergeCell ref="A119:D119"/>
    <mergeCell ref="A61:D61"/>
    <mergeCell ref="A62:A63"/>
    <mergeCell ref="B62:B63"/>
    <mergeCell ref="C62:D62"/>
    <mergeCell ref="E62:F62"/>
    <mergeCell ref="C63:C64"/>
    <mergeCell ref="D63:D64"/>
    <mergeCell ref="A64:B64"/>
    <mergeCell ref="A59:D59"/>
    <mergeCell ref="A60:D60"/>
    <mergeCell ref="C13:C14"/>
    <mergeCell ref="D13:D14"/>
    <mergeCell ref="E13:E14"/>
    <mergeCell ref="F113:F114"/>
    <mergeCell ref="G113:G114"/>
    <mergeCell ref="A114:B114"/>
    <mergeCell ref="E74:E75"/>
    <mergeCell ref="F74:F75"/>
    <mergeCell ref="G74:G75"/>
    <mergeCell ref="A75:B75"/>
    <mergeCell ref="A73:A74"/>
    <mergeCell ref="D74:D75"/>
    <mergeCell ref="E112:F112"/>
    <mergeCell ref="E113:E114"/>
    <mergeCell ref="B73:B74"/>
    <mergeCell ref="C73:D73"/>
    <mergeCell ref="E73:F73"/>
    <mergeCell ref="C74:C75"/>
    <mergeCell ref="A117:D117"/>
    <mergeCell ref="A118:D118"/>
    <mergeCell ref="A109:D109"/>
    <mergeCell ref="A110:D110"/>
    <mergeCell ref="A111:D111"/>
    <mergeCell ref="A112:A113"/>
    <mergeCell ref="B112:B113"/>
    <mergeCell ref="C112:D112"/>
    <mergeCell ref="C113:C114"/>
    <mergeCell ref="D113:D114"/>
    <mergeCell ref="A121:G121"/>
    <mergeCell ref="A122:A123"/>
    <mergeCell ref="B122:B123"/>
    <mergeCell ref="C122:D122"/>
    <mergeCell ref="E122:F122"/>
    <mergeCell ref="C123:C124"/>
    <mergeCell ref="D123:D124"/>
    <mergeCell ref="E123:E124"/>
    <mergeCell ref="F123:F124"/>
    <mergeCell ref="G123:G124"/>
    <mergeCell ref="A124:B124"/>
    <mergeCell ref="A167:D167"/>
    <mergeCell ref="A168:D168"/>
    <mergeCell ref="A169:D169"/>
    <mergeCell ref="G163:G164"/>
    <mergeCell ref="A159:D159"/>
    <mergeCell ref="A160:D160"/>
    <mergeCell ref="C163:C164"/>
    <mergeCell ref="D163:D164"/>
    <mergeCell ref="E163:E164"/>
    <mergeCell ref="A164:B164"/>
    <mergeCell ref="A161:D161"/>
    <mergeCell ref="A162:A163"/>
    <mergeCell ref="B162:B163"/>
    <mergeCell ref="C162:D162"/>
    <mergeCell ref="E162:F162"/>
    <mergeCell ref="F163:F164"/>
  </mergeCells>
  <pageMargins left="0.7" right="0.7" top="0.75" bottom="0.75" header="0.3" footer="0.3"/>
  <pageSetup paperSize="9" scale="46" fitToHeight="0" orientation="portrait" verticalDpi="4294967295" r:id="rId1"/>
  <rowBreaks count="1" manualBreakCount="1">
    <brk id="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проекты 2019</vt:lpstr>
      <vt:lpstr>ПК1 (1,2,3,4,5 этапы)</vt:lpstr>
      <vt:lpstr>ПК2 (1,2,3 этапы)</vt:lpstr>
      <vt:lpstr>'ПК1 (1,2,3,4,5 этапы)'!Область_печати</vt:lpstr>
      <vt:lpstr>'ПК2 (1,2,3 этапы)'!Область_печати</vt:lpstr>
      <vt:lpstr>'проекты 2019'!Область_печати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Khafizov Aydar</dc:creator>
  <cp:lastModifiedBy>Kopylevskiy Aleksey</cp:lastModifiedBy>
  <cp:lastPrinted>2021-01-22T16:03:21Z</cp:lastPrinted>
  <dcterms:created xsi:type="dcterms:W3CDTF">2017-06-06T14:27:54Z</dcterms:created>
  <dcterms:modified xsi:type="dcterms:W3CDTF">2021-01-22T16:08:48Z</dcterms:modified>
</cp:coreProperties>
</file>