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<sst xmlns="http://schemas.openxmlformats.org/spreadsheetml/2006/main" count="200" uniqueCount="147">
  <si>
    <t xml:space="preserve">                                   Расчет стоимости строительства объекта:   Реконструкция трансформаторной подстанции ТП-29 (инв.№100349717).   ( ТСНБ-2001г ред. 2014)      </t>
  </si>
  <si>
    <t xml:space="preserve">                            по ЛОТУ _____ (СМР)-2021</t>
  </si>
  <si>
    <t>№</t>
  </si>
  <si>
    <t>Обоснование (№ЛС)</t>
  </si>
  <si>
    <t>№ сметы, виды работ и затрат</t>
  </si>
  <si>
    <t>Единица измерения мощности (км, м3, шт и т.д.)</t>
  </si>
  <si>
    <t>Количество</t>
  </si>
  <si>
    <t>Базисный уровень цен 2001г.</t>
  </si>
  <si>
    <t>Текущий уровень цен</t>
  </si>
  <si>
    <t>Стоимость объекта всего, тыс. руб.</t>
  </si>
  <si>
    <t>в том числе:</t>
  </si>
  <si>
    <t>Стоимость ТМЦ всего, тыс. руб.</t>
  </si>
  <si>
    <t>Поставка Заказчика</t>
  </si>
  <si>
    <t>Поставка Подрядчика</t>
  </si>
  <si>
    <t>Оплата труда  основных рабочих, тыс.руб.</t>
  </si>
  <si>
    <t>Трудозатраты основных рабочих, чел-час</t>
  </si>
  <si>
    <t>Затраты на эксплуатацию машин и механизмов,  тыс. руб.</t>
  </si>
  <si>
    <t>Время работы механизмов, маш-час</t>
  </si>
  <si>
    <t>Оплата труда механизаторов, тыс.руб.</t>
  </si>
  <si>
    <t>Трудозатраты рабочих-механизаторов, чел-час</t>
  </si>
  <si>
    <t>Накладные расходы, тыс. руб.</t>
  </si>
  <si>
    <t>Сметная прибыль, тыс. руб.</t>
  </si>
  <si>
    <t>Стоимость ВСЕГО без учета материалов и оборудования поставки Заказчика, тыс.руб</t>
  </si>
  <si>
    <t>Полная стоимость с учетом материалов и оборудования поставки Заказчика, тыс.руб</t>
  </si>
  <si>
    <t>Оборудование</t>
  </si>
  <si>
    <t>Стоимость материалов всего, тыс. руб.</t>
  </si>
  <si>
    <t>Оплата труда основных рабочих, тыс. руб.</t>
  </si>
  <si>
    <t>Стоимость ЭММ, тыс. руб.</t>
  </si>
  <si>
    <t>в том числе оплата труда механизаторов, тыс. руб.</t>
  </si>
  <si>
    <t>Стоимость оборудования, тыс. руб.</t>
  </si>
  <si>
    <t>Стоимость материалов, тыс. руб.</t>
  </si>
  <si>
    <t>ОСР 61732 изм. 1 Общеплощадочные работы</t>
  </si>
  <si>
    <t xml:space="preserve">60487 </t>
  </si>
  <si>
    <t>НАРУЖНЫЕ СЕТИ СВЯЗИ. 3500. НСС</t>
  </si>
  <si>
    <t>100м</t>
  </si>
  <si>
    <t>НАРУЖНАЯ КАНАЛИЗАЦИЯ. 000. НК</t>
  </si>
  <si>
    <t>10м3</t>
  </si>
  <si>
    <t>ТССЦпг-03-21-01-025</t>
  </si>
  <si>
    <t>перевозка</t>
  </si>
  <si>
    <t>т</t>
  </si>
  <si>
    <t>ТССЦпг-03-21-01-020</t>
  </si>
  <si>
    <t>ОСР 61731 изм. 2 Общеплощадочные работы</t>
  </si>
  <si>
    <t>60359 изм.2</t>
  </si>
  <si>
    <t>СТРОИТЕЛЬНЫЕ РАБОТЫ. 3100/1.  КМ лл 1-6</t>
  </si>
  <si>
    <t>60358 изм.3</t>
  </si>
  <si>
    <t>СТРОИТЕЛЬНЫЕ РАБОТЫ. 3100/1. КЖ лл 1-8</t>
  </si>
  <si>
    <t>м3</t>
  </si>
  <si>
    <t>60360 изм.1</t>
  </si>
  <si>
    <t>СТРОИТЕЛЬНЫЕ РАБОТЫ. 3100/1. АР лл 1-5</t>
  </si>
  <si>
    <t>61260 изм.1</t>
  </si>
  <si>
    <t>КИПиА. АОВ</t>
  </si>
  <si>
    <t>ЭЛЕКТРОСНАБЖЕНИЕ. 3100/1. ЭС</t>
  </si>
  <si>
    <t>17267-Д изм.1 (доп. к смете 61014)</t>
  </si>
  <si>
    <t>шт</t>
  </si>
  <si>
    <t>61221 изм.2</t>
  </si>
  <si>
    <t>СИЛОВОЕ ЭЛЕКТРОБОРУДОВАНИЕ. ЭМ</t>
  </si>
  <si>
    <t>ЭЛЕКТРООСВЕЩЕНИЕ. ЭО</t>
  </si>
  <si>
    <t>60422 изм.1</t>
  </si>
  <si>
    <t>ЗАЗЕМЛЕНИЕ. МЗ</t>
  </si>
  <si>
    <t>60675 изм.1</t>
  </si>
  <si>
    <t>ЗАЗЕМЛЕНИЕ. УСТРОЙСТВО ГЛУБИННОГО ЗАЗЕМЛИТЕЛЯ. И-00151584-ЭТ.08-2016</t>
  </si>
  <si>
    <t>КАБЕЛЬНЫЕ СЕТИ. 3100/1.ЭК</t>
  </si>
  <si>
    <t>10мм</t>
  </si>
  <si>
    <t>ЭЛЕКТРООБОГРЕВ. 3100/1.ЭТО</t>
  </si>
  <si>
    <t>60440</t>
  </si>
  <si>
    <t>ПОЖАРНАЯ СИГНАЛИЗАЦИЯ. 3100/1. ПС</t>
  </si>
  <si>
    <t>60483</t>
  </si>
  <si>
    <t>ОХРАННАЯ СИГНАЛИЗАЦИЯ. 3100/1 ОС</t>
  </si>
  <si>
    <t xml:space="preserve">60484 </t>
  </si>
  <si>
    <t>СЕТИ СВЯЗИ. 3100/1. СС</t>
  </si>
  <si>
    <t xml:space="preserve">60485 </t>
  </si>
  <si>
    <t>СИСТЕМА КОНТРОЛЯ УПРАВЛЕНИЯ ДОСТУПОМ. СКУД</t>
  </si>
  <si>
    <t>60486</t>
  </si>
  <si>
    <t>СИСТЕМА ВИДЕОНАБЛЮДЕНИЯ. 3100/1. СВН</t>
  </si>
  <si>
    <t>60964 изм.2</t>
  </si>
  <si>
    <t>ВЕНТИЛЯЦИЯ. 000. ОВ</t>
  </si>
  <si>
    <t>камер</t>
  </si>
  <si>
    <t>ДЕМОНТАЖ ВЕНТИЛЯЦИИ. 000. ОВ</t>
  </si>
  <si>
    <t>100м2</t>
  </si>
  <si>
    <t>60965 изм.1</t>
  </si>
  <si>
    <t>ОТОПЛЕНИЕ. ОВ</t>
  </si>
  <si>
    <t>ТЕПЛОИЗОЛЯЦИЯ ТРУБОПРОВОДОВ ОиВ. ТИ.ВИС</t>
  </si>
  <si>
    <t>АВТОДОРОГИ. 3100/1. ГП</t>
  </si>
  <si>
    <t>100м3</t>
  </si>
  <si>
    <t>БЛАГОУСТРОЙСТВО. 3100/1 ГП</t>
  </si>
  <si>
    <t>1000м2</t>
  </si>
  <si>
    <t>ОРГАНИЗАЦИЯ РЕЛЬЕФА. 3100/1. ГП</t>
  </si>
  <si>
    <t>1000м3</t>
  </si>
  <si>
    <t>ТССЦпг-03-21-01-003</t>
  </si>
  <si>
    <t>ТССЦпг-03-21-01-010</t>
  </si>
  <si>
    <t>ОЗЕЛЕНЕНИЕ. 3100/1. ГП</t>
  </si>
  <si>
    <t>ПОДГОТОВКА  ТЕРРИТОРИИ ПОД СТРОИТЕЛЬСТВО. 3100/1. ГП</t>
  </si>
  <si>
    <t>ИТОГО по всем работам</t>
  </si>
  <si>
    <t>Перевозка</t>
  </si>
  <si>
    <t>Исключение К=1,15 на стесненность</t>
  </si>
  <si>
    <t xml:space="preserve">ИТОГО по всем работам </t>
  </si>
  <si>
    <t>Расчет прочих и лимитированных затрат 4,78</t>
  </si>
  <si>
    <t>Временные здания и сооружения от СМР</t>
  </si>
  <si>
    <t>Итого с временными зданиями и сооружениями</t>
  </si>
  <si>
    <t>Прочие работы и затраты</t>
  </si>
  <si>
    <t xml:space="preserve">Зимнеее удорожание
(поправочный коэффициент К=1,05, учитывающий ветряную нагрузку в зимний период, включен в лимит на непредвиденные затраты) </t>
  </si>
  <si>
    <t>Лимит затрат по снегоборьбе</t>
  </si>
  <si>
    <t>0,4%</t>
  </si>
  <si>
    <t>Перебазировка</t>
  </si>
  <si>
    <t>Командировочные</t>
  </si>
  <si>
    <t xml:space="preserve">Пусконаладочные работы </t>
  </si>
  <si>
    <t>3%</t>
  </si>
  <si>
    <t>Итого прочие работы и затраты</t>
  </si>
  <si>
    <t>ИТОГО с учетом прочих работ и затрат</t>
  </si>
  <si>
    <t>Исключение сметной стоимости МТР, учтенной для расчета лимитированных затрат</t>
  </si>
  <si>
    <t>Стоимость МТР по данным разделительной ведомости</t>
  </si>
  <si>
    <t>Непредвиденные затраты, (в том числе страхование )</t>
  </si>
  <si>
    <t>1,5%</t>
  </si>
  <si>
    <t>Страхование 0,7%</t>
  </si>
  <si>
    <t xml:space="preserve">ИТОГО с учетом всех затрат </t>
  </si>
  <si>
    <t>НДС</t>
  </si>
  <si>
    <t>ВСЕГО с учетом НДС, в том числе:</t>
  </si>
  <si>
    <t>Затраты на СМР без учета ТМЦ и ПНР</t>
  </si>
  <si>
    <t>Затраты на ТМЦ поставки подрядчика</t>
  </si>
  <si>
    <t>Затраты на ПНР с учетом непредвиденных расходов</t>
  </si>
  <si>
    <t>Затраты на ТМЦ поставки Заказчика</t>
  </si>
  <si>
    <t>Индексация стоимости СМР, учитывающая инфляционные процессы</t>
  </si>
  <si>
    <t>Ценовые параметры расчета стоимости строительства</t>
  </si>
  <si>
    <t>письмо ПАО "НК "Роснефть" от 19.03.2021г. №102-13789</t>
  </si>
  <si>
    <t>Наименование показателя</t>
  </si>
  <si>
    <t>ед. изм.</t>
  </si>
  <si>
    <t>Значения</t>
  </si>
  <si>
    <t>Заработная плата рабочего 4-го разряда</t>
  </si>
  <si>
    <t>руб./час</t>
  </si>
  <si>
    <t>Индекс оплаты труда основных рабочих</t>
  </si>
  <si>
    <t>Индекс эксплуатации машин и механизмов</t>
  </si>
  <si>
    <t>Индекс МТР (согласно утвержденной разделительной ведомости)</t>
  </si>
  <si>
    <t>Индекс для расчета автомобильных перевозок</t>
  </si>
  <si>
    <t>Индекс для расчета лимитированных затрат</t>
  </si>
  <si>
    <t>Индекс к оборудованию для расчета прочих затрат</t>
  </si>
  <si>
    <t>Индекс к оплате труда пусконаладочного персонала</t>
  </si>
  <si>
    <t>Коэффициент к НР</t>
  </si>
  <si>
    <t>Коэффициент к  СП</t>
  </si>
  <si>
    <t xml:space="preserve">Стоимость ТМЦ в ценах  </t>
  </si>
  <si>
    <t>квартала</t>
  </si>
  <si>
    <t>года</t>
  </si>
  <si>
    <t>Уровень накладных расходов для СМР согласно письму Компании от 04.10.2019 № 102-65296) без учета 0,85</t>
  </si>
  <si>
    <t>%</t>
  </si>
  <si>
    <t>Уровень сметной прибыли для СМР согласно письму Компании от 04.10.2019 № 102-65296) без учета 0,8</t>
  </si>
  <si>
    <t>Уровень накладных расходов для ПНР</t>
  </si>
  <si>
    <t>-</t>
  </si>
  <si>
    <t>Уровень сметной прибыли для ПНР</t>
  </si>
</sst>
</file>

<file path=xl/styles.xml><?xml version="1.0" encoding="utf-8"?>
<styleSheet xmlns="http://schemas.openxmlformats.org/spreadsheetml/2006/main">
  <numFmts count="19">
    <numFmt numFmtId="164" formatCode="General"/>
    <numFmt numFmtId="165" formatCode="General\ "/>
    <numFmt numFmtId="166" formatCode="0%"/>
    <numFmt numFmtId="167" formatCode="\ * #,##0.00\ ;\ * \(#,##0.00\);\ * \-#\ ;\ @\ "/>
    <numFmt numFmtId="168" formatCode="#,##0.00"/>
    <numFmt numFmtId="169" formatCode="0.00\ "/>
    <numFmt numFmtId="170" formatCode="0.0000"/>
    <numFmt numFmtId="171" formatCode="0.000"/>
    <numFmt numFmtId="172" formatCode="#,##0.000"/>
    <numFmt numFmtId="173" formatCode="@"/>
    <numFmt numFmtId="174" formatCode="General"/>
    <numFmt numFmtId="175" formatCode="0.00%"/>
    <numFmt numFmtId="176" formatCode="#,##0.000000000"/>
    <numFmt numFmtId="177" formatCode="0.00"/>
    <numFmt numFmtId="178" formatCode="0.000%"/>
    <numFmt numFmtId="179" formatCode="0.0%"/>
    <numFmt numFmtId="180" formatCode="#,##0.000000"/>
    <numFmt numFmtId="181" formatCode="\ * #,##0.000\ ;\ * \(#,##0.000\);\ * \-#\ ;\ @\ "/>
    <numFmt numFmtId="182" formatCode="0"/>
  </numFmts>
  <fonts count="43">
    <font>
      <sz val="10"/>
      <name val="Arial"/>
      <family val="2"/>
    </font>
    <font>
      <sz val="10"/>
      <name val="Arial Cyr"/>
      <family val="0"/>
    </font>
    <font>
      <sz val="10"/>
      <name val="Courier New"/>
      <family val="1"/>
    </font>
    <font>
      <sz val="10"/>
      <name val="Times New Roman"/>
      <family val="1"/>
    </font>
    <font>
      <sz val="10"/>
      <name val="Times New Roman Cyr"/>
      <family val="0"/>
    </font>
    <font>
      <sz val="14"/>
      <name val="Times New Roman"/>
      <family val="1"/>
    </font>
    <font>
      <sz val="14"/>
      <color indexed="10"/>
      <name val="Times New Roman"/>
      <family val="1"/>
    </font>
    <font>
      <sz val="16"/>
      <name val="Times New Roman"/>
      <family val="1"/>
    </font>
    <font>
      <b/>
      <sz val="36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36"/>
      <name val="Times New Roman"/>
      <family val="1"/>
    </font>
    <font>
      <b/>
      <sz val="12"/>
      <name val="Arial Cyr"/>
      <family val="0"/>
    </font>
    <font>
      <b/>
      <sz val="16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0"/>
      <color indexed="10"/>
      <name val="Times New Roman"/>
      <family val="1"/>
    </font>
    <font>
      <i/>
      <sz val="20"/>
      <name val="Times New Roman"/>
      <family val="1"/>
    </font>
    <font>
      <i/>
      <sz val="16"/>
      <name val="Times New Roman"/>
      <family val="1"/>
    </font>
    <font>
      <sz val="16"/>
      <color indexed="10"/>
      <name val="Arial"/>
      <family val="2"/>
    </font>
    <font>
      <sz val="18"/>
      <color indexed="10"/>
      <name val="Times New Roman"/>
      <family val="1"/>
    </font>
    <font>
      <i/>
      <sz val="20"/>
      <color indexed="8"/>
      <name val="Times New Roman"/>
      <family val="1"/>
    </font>
    <font>
      <i/>
      <sz val="16"/>
      <color indexed="8"/>
      <name val="Times New Roman"/>
      <family val="1"/>
    </font>
    <font>
      <i/>
      <sz val="16"/>
      <color indexed="10"/>
      <name val="Arial"/>
      <family val="2"/>
    </font>
    <font>
      <i/>
      <sz val="20"/>
      <color indexed="10"/>
      <name val="Times New Roman"/>
      <family val="1"/>
    </font>
    <font>
      <i/>
      <sz val="18"/>
      <color indexed="10"/>
      <name val="Times New Roman"/>
      <family val="1"/>
    </font>
    <font>
      <i/>
      <sz val="12"/>
      <color indexed="10"/>
      <name val="Arial"/>
      <family val="2"/>
    </font>
    <font>
      <b/>
      <sz val="20"/>
      <color indexed="10"/>
      <name val="Times New Roman"/>
      <family val="1"/>
    </font>
    <font>
      <b/>
      <sz val="20"/>
      <color indexed="40"/>
      <name val="Times New Roman"/>
      <family val="1"/>
    </font>
    <font>
      <sz val="20"/>
      <name val="Times New Roman CYR"/>
      <family val="0"/>
    </font>
    <font>
      <i/>
      <sz val="20"/>
      <name val="Times New Roman CYR"/>
      <family val="0"/>
    </font>
    <font>
      <b/>
      <i/>
      <sz val="20"/>
      <name val="Times New Roman"/>
      <family val="1"/>
    </font>
    <font>
      <b/>
      <i/>
      <sz val="20"/>
      <color indexed="1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8"/>
      <color indexed="10"/>
      <name val="Times New Roman"/>
      <family val="1"/>
    </font>
    <font>
      <sz val="28"/>
      <name val="Times New Roman"/>
      <family val="1"/>
    </font>
    <font>
      <sz val="24"/>
      <name val="Times New Roman"/>
      <family val="1"/>
    </font>
    <font>
      <sz val="16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3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5" fontId="2" fillId="0" borderId="0">
      <alignment/>
      <protection/>
    </xf>
    <xf numFmtId="164" fontId="1" fillId="0" borderId="0">
      <alignment/>
      <protection/>
    </xf>
    <xf numFmtId="164" fontId="3" fillId="0" borderId="0" applyNumberFormat="0">
      <alignment/>
      <protection locked="0"/>
    </xf>
    <xf numFmtId="164" fontId="4" fillId="0" borderId="0" applyProtection="0">
      <alignment/>
    </xf>
    <xf numFmtId="164" fontId="0" fillId="0" borderId="0">
      <alignment/>
      <protection/>
    </xf>
    <xf numFmtId="164" fontId="4" fillId="0" borderId="0">
      <alignment/>
      <protection/>
    </xf>
    <xf numFmtId="166" fontId="0" fillId="0" borderId="0" applyFill="0" applyBorder="0" applyAlignment="0" applyProtection="0"/>
    <xf numFmtId="167" fontId="0" fillId="0" borderId="0" applyFill="0" applyBorder="0" applyAlignment="0" applyProtection="0"/>
  </cellStyleXfs>
  <cellXfs count="319">
    <xf numFmtId="164" fontId="0" fillId="0" borderId="0" xfId="0" applyAlignment="1">
      <alignment/>
    </xf>
    <xf numFmtId="164" fontId="5" fillId="2" borderId="0" xfId="0" applyFont="1" applyFill="1" applyAlignment="1" applyProtection="1">
      <alignment horizontal="center" vertical="center"/>
      <protection locked="0"/>
    </xf>
    <xf numFmtId="164" fontId="5" fillId="2" borderId="0" xfId="0" applyFont="1" applyFill="1" applyAlignment="1" applyProtection="1">
      <alignment horizontal="center" vertical="center" wrapText="1"/>
      <protection locked="0"/>
    </xf>
    <xf numFmtId="164" fontId="6" fillId="2" borderId="0" xfId="0" applyFont="1" applyFill="1" applyAlignment="1" applyProtection="1">
      <alignment horizontal="center" vertical="center"/>
      <protection locked="0"/>
    </xf>
    <xf numFmtId="168" fontId="5" fillId="2" borderId="0" xfId="0" applyNumberFormat="1" applyFont="1" applyFill="1" applyAlignment="1" applyProtection="1">
      <alignment horizontal="center" vertical="center"/>
      <protection locked="0"/>
    </xf>
    <xf numFmtId="164" fontId="7" fillId="2" borderId="0" xfId="0" applyFont="1" applyFill="1" applyAlignment="1" applyProtection="1">
      <alignment horizontal="center" vertical="center"/>
      <protection locked="0"/>
    </xf>
    <xf numFmtId="164" fontId="8" fillId="2" borderId="0" xfId="0" applyFont="1" applyFill="1" applyAlignment="1" applyProtection="1">
      <alignment/>
      <protection locked="0"/>
    </xf>
    <xf numFmtId="164" fontId="9" fillId="2" borderId="0" xfId="0" applyFont="1" applyFill="1" applyAlignment="1" applyProtection="1">
      <alignment horizontal="center"/>
      <protection locked="0"/>
    </xf>
    <xf numFmtId="164" fontId="9" fillId="2" borderId="0" xfId="0" applyFont="1" applyFill="1" applyAlignment="1" applyProtection="1">
      <alignment/>
      <protection locked="0"/>
    </xf>
    <xf numFmtId="164" fontId="10" fillId="2" borderId="0" xfId="0" applyFont="1" applyFill="1" applyAlignment="1" applyProtection="1">
      <alignment/>
      <protection locked="0"/>
    </xf>
    <xf numFmtId="164" fontId="11" fillId="2" borderId="0" xfId="0" applyFont="1" applyFill="1" applyAlignment="1" applyProtection="1">
      <alignment vertical="center"/>
      <protection locked="0"/>
    </xf>
    <xf numFmtId="168" fontId="11" fillId="2" borderId="0" xfId="0" applyNumberFormat="1" applyFont="1" applyFill="1" applyAlignment="1" applyProtection="1">
      <alignment/>
      <protection locked="0"/>
    </xf>
    <xf numFmtId="168" fontId="9" fillId="2" borderId="0" xfId="0" applyNumberFormat="1" applyFont="1" applyFill="1" applyAlignment="1" applyProtection="1">
      <alignment/>
      <protection locked="0"/>
    </xf>
    <xf numFmtId="164" fontId="12" fillId="2" borderId="0" xfId="0" applyFont="1" applyFill="1" applyAlignment="1" applyProtection="1">
      <alignment horizontal="center" wrapText="1"/>
      <protection locked="0"/>
    </xf>
    <xf numFmtId="164" fontId="7" fillId="2" borderId="0" xfId="0" applyFont="1" applyFill="1" applyAlignment="1" applyProtection="1">
      <alignment/>
      <protection locked="0"/>
    </xf>
    <xf numFmtId="164" fontId="13" fillId="2" borderId="0" xfId="0" applyFont="1" applyFill="1" applyAlignment="1" applyProtection="1">
      <alignment horizontal="left"/>
      <protection locked="0"/>
    </xf>
    <xf numFmtId="164" fontId="14" fillId="2" borderId="0" xfId="0" applyFont="1" applyFill="1" applyAlignment="1" applyProtection="1">
      <alignment/>
      <protection locked="0"/>
    </xf>
    <xf numFmtId="164" fontId="8" fillId="2" borderId="0" xfId="0" applyFont="1" applyFill="1" applyBorder="1" applyAlignment="1" applyProtection="1">
      <alignment horizontal="center"/>
      <protection locked="0"/>
    </xf>
    <xf numFmtId="164" fontId="11" fillId="2" borderId="0" xfId="0" applyFont="1" applyFill="1" applyBorder="1" applyAlignment="1" applyProtection="1">
      <alignment vertical="center"/>
      <protection locked="0"/>
    </xf>
    <xf numFmtId="164" fontId="8" fillId="2" borderId="0" xfId="0" applyFont="1" applyFill="1" applyAlignment="1" applyProtection="1">
      <alignment horizontal="left"/>
      <protection locked="0"/>
    </xf>
    <xf numFmtId="164" fontId="15" fillId="2" borderId="0" xfId="0" applyFont="1" applyFill="1" applyAlignment="1" applyProtection="1">
      <alignment horizontal="center" vertical="top"/>
      <protection locked="0"/>
    </xf>
    <xf numFmtId="164" fontId="15" fillId="2" borderId="0" xfId="0" applyFont="1" applyFill="1" applyBorder="1" applyAlignment="1" applyProtection="1">
      <alignment horizontal="center"/>
      <protection locked="0"/>
    </xf>
    <xf numFmtId="164" fontId="8" fillId="2" borderId="0" xfId="0" applyFont="1" applyFill="1" applyBorder="1" applyAlignment="1" applyProtection="1">
      <alignment horizontal="left" vertical="center"/>
      <protection locked="0"/>
    </xf>
    <xf numFmtId="164" fontId="8" fillId="2" borderId="0" xfId="0" applyFont="1" applyFill="1" applyBorder="1" applyAlignment="1" applyProtection="1">
      <alignment horizontal="center" vertical="center"/>
      <protection locked="0"/>
    </xf>
    <xf numFmtId="164" fontId="8" fillId="2" borderId="0" xfId="0" applyFont="1" applyFill="1" applyAlignment="1" applyProtection="1">
      <alignment horizontal="center" vertical="center"/>
      <protection locked="0"/>
    </xf>
    <xf numFmtId="164" fontId="8" fillId="2" borderId="0" xfId="0" applyFont="1" applyFill="1" applyAlignment="1" applyProtection="1">
      <alignment horizontal="center" vertical="top"/>
      <protection locked="0"/>
    </xf>
    <xf numFmtId="164" fontId="11" fillId="2" borderId="0" xfId="0" applyFont="1" applyFill="1" applyAlignment="1" applyProtection="1">
      <alignment/>
      <protection locked="0"/>
    </xf>
    <xf numFmtId="164" fontId="16" fillId="2" borderId="1" xfId="0" applyFont="1" applyFill="1" applyBorder="1" applyAlignment="1" applyProtection="1">
      <alignment horizontal="center" vertical="center"/>
      <protection locked="0"/>
    </xf>
    <xf numFmtId="164" fontId="16" fillId="2" borderId="0" xfId="0" applyFont="1" applyFill="1" applyBorder="1" applyAlignment="1" applyProtection="1">
      <alignment horizontal="center" vertical="center"/>
      <protection locked="0"/>
    </xf>
    <xf numFmtId="164" fontId="5" fillId="2" borderId="1" xfId="0" applyFont="1" applyFill="1" applyBorder="1" applyAlignment="1" applyProtection="1">
      <alignment horizontal="center" vertical="center"/>
      <protection locked="0"/>
    </xf>
    <xf numFmtId="164" fontId="17" fillId="2" borderId="1" xfId="0" applyFont="1" applyFill="1" applyBorder="1" applyAlignment="1" applyProtection="1">
      <alignment horizontal="center" vertical="center"/>
      <protection locked="0"/>
    </xf>
    <xf numFmtId="164" fontId="17" fillId="2" borderId="0" xfId="0" applyFont="1" applyFill="1" applyAlignment="1" applyProtection="1">
      <alignment horizontal="center" vertical="center"/>
      <protection locked="0"/>
    </xf>
    <xf numFmtId="164" fontId="18" fillId="2" borderId="2" xfId="28" applyFont="1" applyFill="1" applyBorder="1" applyAlignment="1" applyProtection="1">
      <alignment horizontal="center" vertical="center" wrapText="1"/>
      <protection locked="0"/>
    </xf>
    <xf numFmtId="164" fontId="18" fillId="2" borderId="3" xfId="28" applyFont="1" applyFill="1" applyBorder="1" applyAlignment="1" applyProtection="1">
      <alignment horizontal="center" vertical="center" wrapText="1"/>
      <protection locked="0"/>
    </xf>
    <xf numFmtId="164" fontId="18" fillId="2" borderId="4" xfId="0" applyFont="1" applyFill="1" applyBorder="1" applyAlignment="1" applyProtection="1">
      <alignment horizontal="center" vertical="center"/>
      <protection locked="0"/>
    </xf>
    <xf numFmtId="164" fontId="19" fillId="2" borderId="5" xfId="0" applyFont="1" applyFill="1" applyBorder="1" applyAlignment="1" applyProtection="1">
      <alignment horizontal="center" vertical="center" wrapText="1"/>
      <protection locked="0"/>
    </xf>
    <xf numFmtId="164" fontId="18" fillId="2" borderId="6" xfId="28" applyFont="1" applyFill="1" applyBorder="1" applyAlignment="1" applyProtection="1">
      <alignment horizontal="center" vertical="center" wrapText="1"/>
      <protection locked="0"/>
    </xf>
    <xf numFmtId="164" fontId="18" fillId="2" borderId="7" xfId="28" applyFont="1" applyFill="1" applyBorder="1" applyAlignment="1" applyProtection="1">
      <alignment horizontal="left" vertical="center" wrapText="1"/>
      <protection locked="0"/>
    </xf>
    <xf numFmtId="164" fontId="18" fillId="2" borderId="5" xfId="28" applyFont="1" applyFill="1" applyBorder="1" applyAlignment="1" applyProtection="1">
      <alignment horizontal="center" vertical="center" wrapText="1"/>
      <protection locked="0"/>
    </xf>
    <xf numFmtId="169" fontId="18" fillId="2" borderId="2" xfId="28" applyNumberFormat="1" applyFont="1" applyFill="1" applyBorder="1" applyAlignment="1" applyProtection="1">
      <alignment horizontal="center" vertical="center"/>
      <protection locked="0"/>
    </xf>
    <xf numFmtId="164" fontId="18" fillId="2" borderId="2" xfId="27" applyFont="1" applyFill="1" applyBorder="1" applyAlignment="1" applyProtection="1">
      <alignment horizontal="center" vertical="center" wrapText="1"/>
      <protection locked="0"/>
    </xf>
    <xf numFmtId="164" fontId="20" fillId="2" borderId="2" xfId="27" applyFont="1" applyFill="1" applyBorder="1" applyAlignment="1" applyProtection="1">
      <alignment horizontal="center" vertical="center" wrapText="1"/>
      <protection locked="0"/>
    </xf>
    <xf numFmtId="168" fontId="18" fillId="2" borderId="2" xfId="28" applyNumberFormat="1" applyFont="1" applyFill="1" applyBorder="1" applyAlignment="1" applyProtection="1">
      <alignment horizontal="center" vertical="center" wrapText="1"/>
      <protection locked="0"/>
    </xf>
    <xf numFmtId="164" fontId="18" fillId="2" borderId="7" xfId="28" applyFont="1" applyFill="1" applyBorder="1" applyAlignment="1" applyProtection="1">
      <alignment horizontal="center" vertical="center" wrapText="1"/>
      <protection locked="0"/>
    </xf>
    <xf numFmtId="169" fontId="18" fillId="2" borderId="2" xfId="23" applyNumberFormat="1" applyFont="1" applyFill="1" applyBorder="1" applyAlignment="1" applyProtection="1">
      <alignment horizontal="center" vertical="center" wrapText="1"/>
      <protection locked="0"/>
    </xf>
    <xf numFmtId="164" fontId="18" fillId="2" borderId="8" xfId="0" applyFont="1" applyFill="1" applyBorder="1" applyAlignment="1" applyProtection="1">
      <alignment horizontal="center" vertical="center"/>
      <protection locked="0"/>
    </xf>
    <xf numFmtId="164" fontId="18" fillId="2" borderId="8" xfId="0" applyFont="1" applyFill="1" applyBorder="1" applyAlignment="1" applyProtection="1">
      <alignment horizontal="center" vertical="center" wrapText="1"/>
      <protection locked="0"/>
    </xf>
    <xf numFmtId="164" fontId="18" fillId="2" borderId="9" xfId="0" applyFont="1" applyFill="1" applyBorder="1" applyAlignment="1" applyProtection="1">
      <alignment horizontal="center" vertical="center"/>
      <protection locked="0"/>
    </xf>
    <xf numFmtId="164" fontId="18" fillId="2" borderId="10" xfId="0" applyFont="1" applyFill="1" applyBorder="1" applyAlignment="1" applyProtection="1">
      <alignment horizontal="center" vertical="center" wrapText="1"/>
      <protection locked="0"/>
    </xf>
    <xf numFmtId="164" fontId="18" fillId="2" borderId="11" xfId="0" applyFont="1" applyFill="1" applyBorder="1" applyAlignment="1" applyProtection="1">
      <alignment horizontal="center" vertical="center"/>
      <protection locked="0"/>
    </xf>
    <xf numFmtId="164" fontId="18" fillId="2" borderId="12" xfId="0" applyFont="1" applyFill="1" applyBorder="1" applyAlignment="1" applyProtection="1">
      <alignment horizontal="center" vertical="center" wrapText="1"/>
      <protection locked="0"/>
    </xf>
    <xf numFmtId="164" fontId="20" fillId="2" borderId="8" xfId="0" applyFont="1" applyFill="1" applyBorder="1" applyAlignment="1" applyProtection="1">
      <alignment horizontal="center" vertical="center" wrapText="1"/>
      <protection locked="0"/>
    </xf>
    <xf numFmtId="168" fontId="18" fillId="2" borderId="8" xfId="0" applyNumberFormat="1" applyFont="1" applyFill="1" applyBorder="1" applyAlignment="1" applyProtection="1">
      <alignment horizontal="center" vertical="center"/>
      <protection locked="0"/>
    </xf>
    <xf numFmtId="168" fontId="18" fillId="2" borderId="8" xfId="0" applyNumberFormat="1" applyFont="1" applyFill="1" applyBorder="1" applyAlignment="1" applyProtection="1">
      <alignment horizontal="center" vertical="center" wrapText="1"/>
      <protection locked="0"/>
    </xf>
    <xf numFmtId="164" fontId="18" fillId="2" borderId="8" xfId="0" applyFont="1" applyFill="1" applyBorder="1" applyAlignment="1" applyProtection="1">
      <alignment horizontal="center" vertical="center" wrapText="1"/>
      <protection/>
    </xf>
    <xf numFmtId="164" fontId="18" fillId="2" borderId="9" xfId="0" applyFont="1" applyFill="1" applyBorder="1" applyAlignment="1" applyProtection="1">
      <alignment horizontal="center" vertical="center"/>
      <protection/>
    </xf>
    <xf numFmtId="164" fontId="18" fillId="2" borderId="10" xfId="0" applyFont="1" applyFill="1" applyBorder="1" applyAlignment="1" applyProtection="1">
      <alignment horizontal="center" vertical="center" wrapText="1"/>
      <protection/>
    </xf>
    <xf numFmtId="164" fontId="18" fillId="2" borderId="8" xfId="0" applyFont="1" applyFill="1" applyBorder="1" applyAlignment="1" applyProtection="1">
      <alignment horizontal="center" vertical="center"/>
      <protection/>
    </xf>
    <xf numFmtId="164" fontId="18" fillId="2" borderId="11" xfId="0" applyFont="1" applyFill="1" applyBorder="1" applyAlignment="1" applyProtection="1">
      <alignment horizontal="center" vertical="center"/>
      <protection/>
    </xf>
    <xf numFmtId="168" fontId="18" fillId="2" borderId="12" xfId="0" applyNumberFormat="1" applyFont="1" applyFill="1" applyBorder="1" applyAlignment="1" applyProtection="1">
      <alignment horizontal="center" vertical="center" wrapText="1"/>
      <protection/>
    </xf>
    <xf numFmtId="164" fontId="20" fillId="2" borderId="8" xfId="0" applyFont="1" applyFill="1" applyBorder="1" applyAlignment="1" applyProtection="1">
      <alignment horizontal="center" vertical="center" wrapText="1"/>
      <protection/>
    </xf>
    <xf numFmtId="168" fontId="18" fillId="2" borderId="8" xfId="0" applyNumberFormat="1" applyFont="1" applyFill="1" applyBorder="1" applyAlignment="1" applyProtection="1">
      <alignment horizontal="center" vertical="center"/>
      <protection/>
    </xf>
    <xf numFmtId="168" fontId="18" fillId="2" borderId="8" xfId="0" applyNumberFormat="1" applyFont="1" applyFill="1" applyBorder="1" applyAlignment="1" applyProtection="1">
      <alignment horizontal="center" vertical="center" wrapText="1"/>
      <protection/>
    </xf>
    <xf numFmtId="164" fontId="18" fillId="2" borderId="12" xfId="0" applyFont="1" applyFill="1" applyBorder="1" applyAlignment="1" applyProtection="1">
      <alignment horizontal="center" vertical="center" wrapText="1"/>
      <protection/>
    </xf>
    <xf numFmtId="170" fontId="7" fillId="2" borderId="2" xfId="28" applyNumberFormat="1" applyFont="1" applyFill="1" applyBorder="1" applyAlignment="1" applyProtection="1">
      <alignment horizontal="center"/>
      <protection/>
    </xf>
    <xf numFmtId="170" fontId="7" fillId="0" borderId="2" xfId="28" applyNumberFormat="1" applyFont="1" applyFill="1" applyBorder="1" applyAlignment="1" applyProtection="1">
      <alignment horizontal="center"/>
      <protection/>
    </xf>
    <xf numFmtId="164" fontId="21" fillId="2" borderId="2" xfId="0" applyFont="1" applyFill="1" applyBorder="1" applyAlignment="1" applyProtection="1">
      <alignment horizontal="center" vertical="center"/>
      <protection locked="0"/>
    </xf>
    <xf numFmtId="164" fontId="13" fillId="2" borderId="2" xfId="0" applyFont="1" applyFill="1" applyBorder="1" applyAlignment="1" applyProtection="1">
      <alignment horizontal="center" vertical="center" wrapText="1"/>
      <protection locked="0"/>
    </xf>
    <xf numFmtId="164" fontId="19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21" fillId="2" borderId="2" xfId="0" applyFont="1" applyFill="1" applyBorder="1" applyAlignment="1" applyProtection="1">
      <alignment horizontal="center" vertical="center"/>
      <protection/>
    </xf>
    <xf numFmtId="164" fontId="21" fillId="2" borderId="3" xfId="0" applyFont="1" applyFill="1" applyBorder="1" applyAlignment="1" applyProtection="1">
      <alignment horizontal="center" vertical="center"/>
      <protection/>
    </xf>
    <xf numFmtId="171" fontId="21" fillId="2" borderId="13" xfId="0" applyNumberFormat="1" applyFont="1" applyFill="1" applyBorder="1" applyAlignment="1" applyProtection="1">
      <alignment horizontal="center" vertical="center"/>
      <protection/>
    </xf>
    <xf numFmtId="171" fontId="21" fillId="2" borderId="2" xfId="0" applyNumberFormat="1" applyFont="1" applyFill="1" applyBorder="1" applyAlignment="1" applyProtection="1">
      <alignment horizontal="center" vertical="center"/>
      <protection/>
    </xf>
    <xf numFmtId="171" fontId="21" fillId="2" borderId="7" xfId="0" applyNumberFormat="1" applyFont="1" applyFill="1" applyBorder="1" applyAlignment="1" applyProtection="1">
      <alignment horizontal="center" vertical="center"/>
      <protection/>
    </xf>
    <xf numFmtId="171" fontId="21" fillId="2" borderId="5" xfId="0" applyNumberFormat="1" applyFont="1" applyFill="1" applyBorder="1" applyAlignment="1" applyProtection="1">
      <alignment horizontal="center" vertical="center"/>
      <protection/>
    </xf>
    <xf numFmtId="172" fontId="20" fillId="2" borderId="2" xfId="0" applyNumberFormat="1" applyFont="1" applyFill="1" applyBorder="1" applyAlignment="1" applyProtection="1">
      <alignment horizontal="center" vertical="center"/>
      <protection/>
    </xf>
    <xf numFmtId="171" fontId="18" fillId="2" borderId="2" xfId="0" applyNumberFormat="1" applyFont="1" applyFill="1" applyBorder="1" applyAlignment="1" applyProtection="1">
      <alignment horizontal="center" vertical="center"/>
      <protection/>
    </xf>
    <xf numFmtId="171" fontId="20" fillId="2" borderId="2" xfId="0" applyNumberFormat="1" applyFont="1" applyFill="1" applyBorder="1" applyAlignment="1" applyProtection="1">
      <alignment horizontal="center" vertical="center"/>
      <protection/>
    </xf>
    <xf numFmtId="168" fontId="21" fillId="2" borderId="2" xfId="0" applyNumberFormat="1" applyFont="1" applyFill="1" applyBorder="1" applyAlignment="1" applyProtection="1">
      <alignment horizontal="center" vertical="center" wrapText="1"/>
      <protection/>
    </xf>
    <xf numFmtId="164" fontId="22" fillId="2" borderId="0" xfId="0" applyFont="1" applyFill="1" applyAlignment="1" applyProtection="1">
      <alignment horizontal="center" vertical="center"/>
      <protection locked="0"/>
    </xf>
    <xf numFmtId="164" fontId="18" fillId="2" borderId="2" xfId="0" applyFont="1" applyFill="1" applyBorder="1" applyAlignment="1" applyProtection="1">
      <alignment horizontal="center" vertical="center"/>
      <protection locked="0"/>
    </xf>
    <xf numFmtId="173" fontId="7" fillId="0" borderId="2" xfId="0" applyNumberFormat="1" applyFont="1" applyBorder="1" applyAlignment="1" applyProtection="1">
      <alignment horizontal="left" vertical="top" wrapText="1"/>
      <protection locked="0"/>
    </xf>
    <xf numFmtId="164" fontId="18" fillId="2" borderId="2" xfId="0" applyFont="1" applyFill="1" applyBorder="1" applyAlignment="1" applyProtection="1">
      <alignment horizontal="center" vertical="center"/>
      <protection/>
    </xf>
    <xf numFmtId="164" fontId="18" fillId="2" borderId="3" xfId="0" applyNumberFormat="1" applyFont="1" applyFill="1" applyBorder="1" applyAlignment="1" applyProtection="1">
      <alignment horizontal="center" vertical="center"/>
      <protection/>
    </xf>
    <xf numFmtId="172" fontId="18" fillId="2" borderId="13" xfId="0" applyNumberFormat="1" applyFont="1" applyFill="1" applyBorder="1" applyAlignment="1" applyProtection="1">
      <alignment horizontal="center" vertical="center"/>
      <protection/>
    </xf>
    <xf numFmtId="164" fontId="7" fillId="2" borderId="2" xfId="20" applyFont="1" applyFill="1" applyBorder="1" applyProtection="1">
      <alignment/>
      <protection/>
    </xf>
    <xf numFmtId="164" fontId="7" fillId="2" borderId="7" xfId="20" applyFont="1" applyFill="1" applyBorder="1" applyProtection="1">
      <alignment/>
      <protection/>
    </xf>
    <xf numFmtId="172" fontId="18" fillId="2" borderId="5" xfId="0" applyNumberFormat="1" applyFont="1" applyFill="1" applyBorder="1" applyAlignment="1" applyProtection="1">
      <alignment horizontal="center" vertical="center"/>
      <protection/>
    </xf>
    <xf numFmtId="172" fontId="18" fillId="2" borderId="2" xfId="0" applyNumberFormat="1" applyFont="1" applyFill="1" applyBorder="1" applyAlignment="1" applyProtection="1">
      <alignment horizontal="center" vertical="center"/>
      <protection/>
    </xf>
    <xf numFmtId="164" fontId="23" fillId="0" borderId="2" xfId="20" applyFont="1" applyBorder="1" applyAlignment="1" applyProtection="1">
      <alignment horizontal="center" vertical="center" wrapText="1"/>
      <protection/>
    </xf>
    <xf numFmtId="172" fontId="24" fillId="2" borderId="2" xfId="0" applyNumberFormat="1" applyFont="1" applyFill="1" applyBorder="1" applyAlignment="1" applyProtection="1">
      <alignment horizontal="center" vertical="center"/>
      <protection/>
    </xf>
    <xf numFmtId="168" fontId="18" fillId="2" borderId="2" xfId="0" applyNumberFormat="1" applyFont="1" applyFill="1" applyBorder="1" applyAlignment="1" applyProtection="1">
      <alignment horizontal="center" vertical="center"/>
      <protection/>
    </xf>
    <xf numFmtId="164" fontId="25" fillId="3" borderId="2" xfId="0" applyFont="1" applyFill="1" applyBorder="1" applyAlignment="1" applyProtection="1">
      <alignment horizontal="center" vertical="center"/>
      <protection locked="0"/>
    </xf>
    <xf numFmtId="173" fontId="26" fillId="3" borderId="2" xfId="0" applyNumberFormat="1" applyFont="1" applyFill="1" applyBorder="1" applyAlignment="1" applyProtection="1">
      <alignment horizontal="right" vertical="top" wrapText="1"/>
      <protection locked="0"/>
    </xf>
    <xf numFmtId="164" fontId="25" fillId="3" borderId="2" xfId="0" applyFont="1" applyFill="1" applyBorder="1" applyAlignment="1" applyProtection="1">
      <alignment horizontal="center" vertical="center"/>
      <protection/>
    </xf>
    <xf numFmtId="164" fontId="25" fillId="3" borderId="3" xfId="0" applyFont="1" applyFill="1" applyBorder="1" applyAlignment="1" applyProtection="1">
      <alignment horizontal="center" vertical="center"/>
      <protection/>
    </xf>
    <xf numFmtId="172" fontId="25" fillId="3" borderId="13" xfId="0" applyNumberFormat="1" applyFont="1" applyFill="1" applyBorder="1" applyAlignment="1" applyProtection="1">
      <alignment horizontal="center" vertical="center"/>
      <protection/>
    </xf>
    <xf numFmtId="164" fontId="26" fillId="3" borderId="2" xfId="20" applyFont="1" applyFill="1" applyBorder="1" applyProtection="1">
      <alignment/>
      <protection/>
    </xf>
    <xf numFmtId="164" fontId="26" fillId="3" borderId="7" xfId="20" applyFont="1" applyFill="1" applyBorder="1" applyProtection="1">
      <alignment/>
      <protection/>
    </xf>
    <xf numFmtId="172" fontId="25" fillId="3" borderId="5" xfId="0" applyNumberFormat="1" applyFont="1" applyFill="1" applyBorder="1" applyAlignment="1" applyProtection="1">
      <alignment horizontal="center" vertical="center"/>
      <protection/>
    </xf>
    <xf numFmtId="172" fontId="25" fillId="3" borderId="2" xfId="0" applyNumberFormat="1" applyFont="1" applyFill="1" applyBorder="1" applyAlignment="1" applyProtection="1">
      <alignment horizontal="center" vertical="center"/>
      <protection/>
    </xf>
    <xf numFmtId="164" fontId="27" fillId="3" borderId="2" xfId="20" applyFont="1" applyFill="1" applyBorder="1" applyAlignment="1" applyProtection="1">
      <alignment horizontal="center" vertical="center" wrapText="1"/>
      <protection/>
    </xf>
    <xf numFmtId="172" fontId="28" fillId="3" borderId="2" xfId="0" applyNumberFormat="1" applyFont="1" applyFill="1" applyBorder="1" applyAlignment="1" applyProtection="1">
      <alignment horizontal="center" vertical="center"/>
      <protection/>
    </xf>
    <xf numFmtId="168" fontId="25" fillId="3" borderId="2" xfId="0" applyNumberFormat="1" applyFont="1" applyFill="1" applyBorder="1" applyAlignment="1" applyProtection="1">
      <alignment horizontal="center" vertical="center"/>
      <protection/>
    </xf>
    <xf numFmtId="164" fontId="26" fillId="3" borderId="0" xfId="0" applyFont="1" applyFill="1" applyAlignment="1" applyProtection="1">
      <alignment horizontal="center" vertical="center"/>
      <protection locked="0"/>
    </xf>
    <xf numFmtId="164" fontId="23" fillId="2" borderId="2" xfId="20" applyFont="1" applyFill="1" applyBorder="1" applyAlignment="1" applyProtection="1">
      <alignment horizontal="center" vertical="center" wrapText="1"/>
      <protection/>
    </xf>
    <xf numFmtId="172" fontId="29" fillId="3" borderId="2" xfId="0" applyNumberFormat="1" applyFont="1" applyFill="1" applyBorder="1" applyAlignment="1" applyProtection="1">
      <alignment horizontal="center" vertical="center"/>
      <protection/>
    </xf>
    <xf numFmtId="168" fontId="7" fillId="2" borderId="2" xfId="20" applyNumberFormat="1" applyFont="1" applyFill="1" applyBorder="1" applyAlignment="1" applyProtection="1">
      <alignment horizontal="right" vertical="top" wrapText="1"/>
      <protection/>
    </xf>
    <xf numFmtId="168" fontId="7" fillId="2" borderId="7" xfId="20" applyNumberFormat="1" applyFont="1" applyFill="1" applyBorder="1" applyAlignment="1" applyProtection="1">
      <alignment horizontal="right" vertical="top" wrapText="1"/>
      <protection/>
    </xf>
    <xf numFmtId="164" fontId="25" fillId="3" borderId="8" xfId="0" applyFont="1" applyFill="1" applyBorder="1" applyAlignment="1" applyProtection="1">
      <alignment horizontal="center" vertical="center"/>
      <protection locked="0"/>
    </xf>
    <xf numFmtId="173" fontId="26" fillId="3" borderId="8" xfId="0" applyNumberFormat="1" applyFont="1" applyFill="1" applyBorder="1" applyAlignment="1" applyProtection="1">
      <alignment horizontal="right" vertical="top" wrapText="1"/>
      <protection locked="0"/>
    </xf>
    <xf numFmtId="164" fontId="25" fillId="3" borderId="8" xfId="0" applyFont="1" applyFill="1" applyBorder="1" applyAlignment="1" applyProtection="1">
      <alignment horizontal="center" vertical="center"/>
      <protection/>
    </xf>
    <xf numFmtId="164" fontId="25" fillId="3" borderId="9" xfId="0" applyFont="1" applyFill="1" applyBorder="1" applyAlignment="1" applyProtection="1">
      <alignment horizontal="center" vertical="center"/>
      <protection/>
    </xf>
    <xf numFmtId="172" fontId="25" fillId="3" borderId="10" xfId="0" applyNumberFormat="1" applyFont="1" applyFill="1" applyBorder="1" applyAlignment="1" applyProtection="1">
      <alignment horizontal="center" vertical="center"/>
      <protection/>
    </xf>
    <xf numFmtId="164" fontId="26" fillId="3" borderId="8" xfId="20" applyFont="1" applyFill="1" applyBorder="1" applyProtection="1">
      <alignment/>
      <protection/>
    </xf>
    <xf numFmtId="168" fontId="26" fillId="3" borderId="12" xfId="20" applyNumberFormat="1" applyFont="1" applyFill="1" applyBorder="1" applyAlignment="1" applyProtection="1">
      <alignment horizontal="right" vertical="top" wrapText="1"/>
      <protection/>
    </xf>
    <xf numFmtId="168" fontId="26" fillId="3" borderId="14" xfId="20" applyNumberFormat="1" applyFont="1" applyFill="1" applyBorder="1" applyAlignment="1" applyProtection="1">
      <alignment horizontal="right" vertical="top" wrapText="1"/>
      <protection/>
    </xf>
    <xf numFmtId="172" fontId="25" fillId="3" borderId="12" xfId="0" applyNumberFormat="1" applyFont="1" applyFill="1" applyBorder="1" applyAlignment="1" applyProtection="1">
      <alignment horizontal="center" vertical="center"/>
      <protection/>
    </xf>
    <xf numFmtId="172" fontId="25" fillId="3" borderId="8" xfId="0" applyNumberFormat="1" applyFont="1" applyFill="1" applyBorder="1" applyAlignment="1" applyProtection="1">
      <alignment horizontal="center" vertical="center"/>
      <protection/>
    </xf>
    <xf numFmtId="164" fontId="30" fillId="3" borderId="8" xfId="20" applyFont="1" applyFill="1" applyBorder="1" applyAlignment="1" applyProtection="1">
      <alignment horizontal="right" vertical="top" wrapText="1"/>
      <protection/>
    </xf>
    <xf numFmtId="172" fontId="28" fillId="3" borderId="8" xfId="0" applyNumberFormat="1" applyFont="1" applyFill="1" applyBorder="1" applyAlignment="1" applyProtection="1">
      <alignment horizontal="center" vertical="center"/>
      <protection/>
    </xf>
    <xf numFmtId="168" fontId="25" fillId="3" borderId="8" xfId="0" applyNumberFormat="1" applyFont="1" applyFill="1" applyBorder="1" applyAlignment="1" applyProtection="1">
      <alignment horizontal="center" vertical="center"/>
      <protection/>
    </xf>
    <xf numFmtId="164" fontId="19" fillId="2" borderId="15" xfId="0" applyFont="1" applyFill="1" applyBorder="1" applyAlignment="1" applyProtection="1">
      <alignment horizontal="left" vertical="center"/>
      <protection locked="0"/>
    </xf>
    <xf numFmtId="164" fontId="19" fillId="2" borderId="16" xfId="0" applyFont="1" applyFill="1" applyBorder="1" applyAlignment="1" applyProtection="1">
      <alignment horizontal="left" vertical="center" wrapText="1"/>
      <protection locked="0"/>
    </xf>
    <xf numFmtId="168" fontId="19" fillId="2" borderId="16" xfId="0" applyNumberFormat="1" applyFont="1" applyFill="1" applyBorder="1" applyAlignment="1" applyProtection="1">
      <alignment horizontal="left" vertical="center" wrapText="1"/>
      <protection locked="0"/>
    </xf>
    <xf numFmtId="164" fontId="19" fillId="2" borderId="16" xfId="0" applyFont="1" applyFill="1" applyBorder="1" applyAlignment="1" applyProtection="1">
      <alignment horizontal="left" vertical="center"/>
      <protection/>
    </xf>
    <xf numFmtId="167" fontId="19" fillId="2" borderId="17" xfId="30" applyFont="1" applyFill="1" applyBorder="1" applyAlignment="1" applyProtection="1">
      <alignment horizontal="left" vertical="center" wrapText="1"/>
      <protection/>
    </xf>
    <xf numFmtId="172" fontId="19" fillId="2" borderId="15" xfId="0" applyNumberFormat="1" applyFont="1" applyFill="1" applyBorder="1" applyAlignment="1" applyProtection="1">
      <alignment horizontal="center" vertical="center" wrapText="1"/>
      <protection/>
    </xf>
    <xf numFmtId="172" fontId="19" fillId="2" borderId="18" xfId="0" applyNumberFormat="1" applyFont="1" applyFill="1" applyBorder="1" applyAlignment="1" applyProtection="1">
      <alignment horizontal="center" vertical="center" wrapText="1"/>
      <protection/>
    </xf>
    <xf numFmtId="172" fontId="19" fillId="2" borderId="19" xfId="0" applyNumberFormat="1" applyFont="1" applyFill="1" applyBorder="1" applyAlignment="1" applyProtection="1">
      <alignment horizontal="center" vertical="center" wrapText="1"/>
      <protection/>
    </xf>
    <xf numFmtId="172" fontId="31" fillId="2" borderId="19" xfId="0" applyNumberFormat="1" applyFont="1" applyFill="1" applyBorder="1" applyAlignment="1" applyProtection="1">
      <alignment horizontal="center" vertical="center" wrapText="1"/>
      <protection/>
    </xf>
    <xf numFmtId="168" fontId="19" fillId="2" borderId="16" xfId="0" applyNumberFormat="1" applyFont="1" applyFill="1" applyBorder="1" applyAlignment="1" applyProtection="1">
      <alignment horizontal="center" vertical="center" wrapText="1"/>
      <protection/>
    </xf>
    <xf numFmtId="168" fontId="19" fillId="2" borderId="20" xfId="0" applyNumberFormat="1" applyFont="1" applyFill="1" applyBorder="1" applyAlignment="1" applyProtection="1">
      <alignment horizontal="center" vertical="center" wrapText="1"/>
      <protection/>
    </xf>
    <xf numFmtId="172" fontId="13" fillId="2" borderId="0" xfId="0" applyNumberFormat="1" applyFont="1" applyFill="1" applyBorder="1" applyAlignment="1" applyProtection="1">
      <alignment horizontal="left" vertical="center"/>
      <protection locked="0"/>
    </xf>
    <xf numFmtId="164" fontId="13" fillId="2" borderId="0" xfId="0" applyFont="1" applyFill="1" applyBorder="1" applyAlignment="1" applyProtection="1">
      <alignment horizontal="left" vertical="center"/>
      <protection locked="0"/>
    </xf>
    <xf numFmtId="164" fontId="13" fillId="2" borderId="0" xfId="0" applyFont="1" applyFill="1" applyAlignment="1" applyProtection="1">
      <alignment horizontal="left" vertical="center"/>
      <protection locked="0"/>
    </xf>
    <xf numFmtId="164" fontId="19" fillId="2" borderId="21" xfId="0" applyFont="1" applyFill="1" applyBorder="1" applyAlignment="1" applyProtection="1">
      <alignment horizontal="left" vertical="center"/>
      <protection locked="0"/>
    </xf>
    <xf numFmtId="164" fontId="19" fillId="2" borderId="21" xfId="0" applyFont="1" applyFill="1" applyBorder="1" applyAlignment="1" applyProtection="1">
      <alignment horizontal="left" vertical="center" wrapText="1"/>
      <protection locked="0"/>
    </xf>
    <xf numFmtId="168" fontId="32" fillId="2" borderId="21" xfId="0" applyNumberFormat="1" applyFont="1" applyFill="1" applyBorder="1" applyAlignment="1" applyProtection="1">
      <alignment horizontal="right" vertical="center" wrapText="1"/>
      <protection locked="0"/>
    </xf>
    <xf numFmtId="164" fontId="19" fillId="2" borderId="21" xfId="0" applyFont="1" applyFill="1" applyBorder="1" applyAlignment="1" applyProtection="1">
      <alignment horizontal="left" vertical="center"/>
      <protection/>
    </xf>
    <xf numFmtId="167" fontId="19" fillId="2" borderId="22" xfId="30" applyFont="1" applyFill="1" applyBorder="1" applyAlignment="1" applyProtection="1">
      <alignment horizontal="left" vertical="center" wrapText="1"/>
      <protection/>
    </xf>
    <xf numFmtId="172" fontId="19" fillId="2" borderId="23" xfId="0" applyNumberFormat="1" applyFont="1" applyFill="1" applyBorder="1" applyAlignment="1" applyProtection="1">
      <alignment horizontal="center" vertical="center" wrapText="1"/>
      <protection/>
    </xf>
    <xf numFmtId="172" fontId="32" fillId="2" borderId="23" xfId="0" applyNumberFormat="1" applyFont="1" applyFill="1" applyBorder="1" applyAlignment="1" applyProtection="1">
      <alignment horizontal="center" vertical="center" wrapText="1"/>
      <protection/>
    </xf>
    <xf numFmtId="172" fontId="31" fillId="2" borderId="23" xfId="0" applyNumberFormat="1" applyFont="1" applyFill="1" applyBorder="1" applyAlignment="1" applyProtection="1">
      <alignment horizontal="center" vertical="center" wrapText="1"/>
      <protection/>
    </xf>
    <xf numFmtId="168" fontId="19" fillId="2" borderId="21" xfId="0" applyNumberFormat="1" applyFont="1" applyFill="1" applyBorder="1" applyAlignment="1" applyProtection="1">
      <alignment horizontal="center" vertical="center" wrapText="1"/>
      <protection/>
    </xf>
    <xf numFmtId="164" fontId="18" fillId="2" borderId="2" xfId="0" applyFont="1" applyFill="1" applyBorder="1" applyAlignment="1" applyProtection="1">
      <alignment horizontal="left" vertical="center"/>
      <protection locked="0"/>
    </xf>
    <xf numFmtId="164" fontId="18" fillId="2" borderId="2" xfId="0" applyFont="1" applyFill="1" applyBorder="1" applyAlignment="1" applyProtection="1">
      <alignment horizontal="left" vertical="center" wrapText="1"/>
      <protection locked="0"/>
    </xf>
    <xf numFmtId="168" fontId="18" fillId="2" borderId="2" xfId="0" applyNumberFormat="1" applyFont="1" applyFill="1" applyBorder="1" applyAlignment="1" applyProtection="1">
      <alignment horizontal="left" vertical="center" wrapText="1"/>
      <protection locked="0"/>
    </xf>
    <xf numFmtId="164" fontId="18" fillId="2" borderId="2" xfId="0" applyFont="1" applyFill="1" applyBorder="1" applyAlignment="1" applyProtection="1">
      <alignment horizontal="left" vertical="center"/>
      <protection/>
    </xf>
    <xf numFmtId="167" fontId="18" fillId="2" borderId="2" xfId="30" applyFont="1" applyFill="1" applyBorder="1" applyAlignment="1" applyProtection="1">
      <alignment horizontal="left" vertical="center" wrapText="1"/>
      <protection/>
    </xf>
    <xf numFmtId="172" fontId="18" fillId="2" borderId="2" xfId="0" applyNumberFormat="1" applyFont="1" applyFill="1" applyBorder="1" applyAlignment="1" applyProtection="1">
      <alignment horizontal="center" vertical="center" wrapText="1"/>
      <protection/>
    </xf>
    <xf numFmtId="172" fontId="20" fillId="2" borderId="2" xfId="0" applyNumberFormat="1" applyFont="1" applyFill="1" applyBorder="1" applyAlignment="1" applyProtection="1">
      <alignment horizontal="center" vertical="center" wrapText="1"/>
      <protection/>
    </xf>
    <xf numFmtId="168" fontId="18" fillId="2" borderId="2" xfId="0" applyNumberFormat="1" applyFont="1" applyFill="1" applyBorder="1" applyAlignment="1" applyProtection="1">
      <alignment horizontal="center" vertical="center" wrapText="1"/>
      <protection/>
    </xf>
    <xf numFmtId="164" fontId="7" fillId="2" borderId="0" xfId="0" applyFont="1" applyFill="1" applyBorder="1" applyAlignment="1" applyProtection="1">
      <alignment horizontal="left" vertical="center"/>
      <protection locked="0"/>
    </xf>
    <xf numFmtId="164" fontId="7" fillId="2" borderId="0" xfId="0" applyFont="1" applyFill="1" applyAlignment="1" applyProtection="1">
      <alignment horizontal="left" vertical="center"/>
      <protection locked="0"/>
    </xf>
    <xf numFmtId="164" fontId="19" fillId="2" borderId="2" xfId="0" applyFont="1" applyFill="1" applyBorder="1" applyAlignment="1" applyProtection="1">
      <alignment horizontal="left" vertical="center"/>
      <protection locked="0"/>
    </xf>
    <xf numFmtId="164" fontId="19" fillId="2" borderId="2" xfId="0" applyFont="1" applyFill="1" applyBorder="1" applyAlignment="1" applyProtection="1">
      <alignment horizontal="left" vertical="center" wrapText="1"/>
      <protection locked="0"/>
    </xf>
    <xf numFmtId="168" fontId="19" fillId="2" borderId="2" xfId="0" applyNumberFormat="1" applyFont="1" applyFill="1" applyBorder="1" applyAlignment="1" applyProtection="1">
      <alignment horizontal="left" vertical="center" wrapText="1"/>
      <protection locked="0"/>
    </xf>
    <xf numFmtId="164" fontId="19" fillId="2" borderId="2" xfId="0" applyFont="1" applyFill="1" applyBorder="1" applyAlignment="1" applyProtection="1">
      <alignment horizontal="left" vertical="center"/>
      <protection/>
    </xf>
    <xf numFmtId="167" fontId="19" fillId="2" borderId="2" xfId="30" applyFont="1" applyFill="1" applyBorder="1" applyAlignment="1" applyProtection="1">
      <alignment horizontal="left" vertical="center" wrapText="1"/>
      <protection/>
    </xf>
    <xf numFmtId="172" fontId="19" fillId="2" borderId="2" xfId="0" applyNumberFormat="1" applyFont="1" applyFill="1" applyBorder="1" applyAlignment="1" applyProtection="1">
      <alignment horizontal="center" vertical="center" wrapText="1"/>
      <protection/>
    </xf>
    <xf numFmtId="172" fontId="31" fillId="2" borderId="2" xfId="0" applyNumberFormat="1" applyFont="1" applyFill="1" applyBorder="1" applyAlignment="1" applyProtection="1">
      <alignment horizontal="center" vertical="center" wrapText="1"/>
      <protection/>
    </xf>
    <xf numFmtId="168" fontId="19" fillId="2" borderId="2" xfId="0" applyNumberFormat="1" applyFont="1" applyFill="1" applyBorder="1" applyAlignment="1" applyProtection="1">
      <alignment horizontal="center" vertical="center" wrapText="1"/>
      <protection/>
    </xf>
    <xf numFmtId="168" fontId="19" fillId="2" borderId="2" xfId="0" applyNumberFormat="1" applyFont="1" applyFill="1" applyBorder="1" applyAlignment="1" applyProtection="1">
      <alignment horizontal="left" vertical="center" wrapText="1"/>
      <protection/>
    </xf>
    <xf numFmtId="172" fontId="19" fillId="2" borderId="2" xfId="0" applyNumberFormat="1" applyFont="1" applyFill="1" applyBorder="1" applyAlignment="1" applyProtection="1">
      <alignment horizontal="center" vertical="center"/>
      <protection/>
    </xf>
    <xf numFmtId="172" fontId="31" fillId="2" borderId="2" xfId="0" applyNumberFormat="1" applyFont="1" applyFill="1" applyBorder="1" applyAlignment="1" applyProtection="1">
      <alignment horizontal="center" vertical="center"/>
      <protection/>
    </xf>
    <xf numFmtId="171" fontId="13" fillId="2" borderId="0" xfId="0" applyNumberFormat="1" applyFont="1" applyFill="1" applyBorder="1" applyAlignment="1" applyProtection="1">
      <alignment horizontal="left" vertical="center"/>
      <protection locked="0"/>
    </xf>
    <xf numFmtId="171" fontId="13" fillId="2" borderId="2" xfId="0" applyNumberFormat="1" applyFont="1" applyFill="1" applyBorder="1" applyAlignment="1" applyProtection="1">
      <alignment horizontal="left" vertical="center"/>
      <protection locked="0"/>
    </xf>
    <xf numFmtId="168" fontId="18" fillId="2" borderId="2" xfId="0" applyNumberFormat="1" applyFont="1" applyFill="1" applyBorder="1" applyAlignment="1" applyProtection="1">
      <alignment horizontal="left" vertical="center" wrapText="1"/>
      <protection/>
    </xf>
    <xf numFmtId="175" fontId="18" fillId="2" borderId="2" xfId="0" applyNumberFormat="1" applyFont="1" applyFill="1" applyBorder="1" applyAlignment="1" applyProtection="1">
      <alignment horizontal="center" vertical="center" wrapText="1"/>
      <protection/>
    </xf>
    <xf numFmtId="172" fontId="18" fillId="2" borderId="2" xfId="30" applyNumberFormat="1" applyFont="1" applyFill="1" applyBorder="1" applyAlignment="1" applyProtection="1">
      <alignment horizontal="center" vertical="center" wrapText="1"/>
      <protection/>
    </xf>
    <xf numFmtId="168" fontId="18" fillId="2" borderId="2" xfId="30" applyNumberFormat="1" applyFont="1" applyFill="1" applyBorder="1" applyAlignment="1" applyProtection="1">
      <alignment horizontal="center" vertical="center" wrapText="1"/>
      <protection/>
    </xf>
    <xf numFmtId="173" fontId="18" fillId="2" borderId="2" xfId="0" applyNumberFormat="1" applyFont="1" applyFill="1" applyBorder="1" applyAlignment="1" applyProtection="1">
      <alignment horizontal="center" vertical="center" wrapText="1"/>
      <protection/>
    </xf>
    <xf numFmtId="176" fontId="19" fillId="2" borderId="2" xfId="0" applyNumberFormat="1" applyFont="1" applyFill="1" applyBorder="1" applyAlignment="1" applyProtection="1">
      <alignment horizontal="center" vertical="center" wrapText="1"/>
      <protection/>
    </xf>
    <xf numFmtId="168" fontId="19" fillId="2" borderId="2" xfId="30" applyNumberFormat="1" applyFont="1" applyFill="1" applyBorder="1" applyAlignment="1" applyProtection="1">
      <alignment horizontal="center" vertical="center" wrapText="1"/>
      <protection/>
    </xf>
    <xf numFmtId="168" fontId="19" fillId="2" borderId="2" xfId="30" applyNumberFormat="1" applyFont="1" applyFill="1" applyBorder="1" applyAlignment="1" applyProtection="1">
      <alignment horizontal="center" vertical="center"/>
      <protection/>
    </xf>
    <xf numFmtId="177" fontId="19" fillId="2" borderId="2" xfId="0" applyNumberFormat="1" applyFont="1" applyFill="1" applyBorder="1" applyAlignment="1" applyProtection="1">
      <alignment horizontal="left" vertical="center" wrapText="1"/>
      <protection/>
    </xf>
    <xf numFmtId="168" fontId="33" fillId="2" borderId="2" xfId="22" applyNumberFormat="1" applyFont="1" applyFill="1" applyBorder="1" applyAlignment="1" applyProtection="1">
      <alignment horizontal="left" vertical="center" wrapText="1"/>
      <protection locked="0"/>
    </xf>
    <xf numFmtId="178" fontId="18" fillId="2" borderId="2" xfId="0" applyNumberFormat="1" applyFont="1" applyFill="1" applyBorder="1" applyAlignment="1" applyProtection="1">
      <alignment horizontal="center" vertical="center" wrapText="1"/>
      <protection/>
    </xf>
    <xf numFmtId="168" fontId="18" fillId="2" borderId="2" xfId="30" applyNumberFormat="1" applyFont="1" applyFill="1" applyBorder="1" applyAlignment="1" applyProtection="1">
      <alignment horizontal="center" vertical="center"/>
      <protection/>
    </xf>
    <xf numFmtId="164" fontId="18" fillId="2" borderId="2" xfId="25" applyNumberFormat="1" applyFont="1" applyFill="1" applyBorder="1" applyAlignment="1" applyProtection="1">
      <alignment horizontal="left" vertical="center" wrapText="1"/>
      <protection locked="0"/>
    </xf>
    <xf numFmtId="166" fontId="18" fillId="2" borderId="2" xfId="0" applyNumberFormat="1" applyFont="1" applyFill="1" applyBorder="1" applyAlignment="1" applyProtection="1">
      <alignment horizontal="center" vertical="center" wrapText="1"/>
      <protection locked="0"/>
    </xf>
    <xf numFmtId="172" fontId="18" fillId="2" borderId="2" xfId="0" applyNumberFormat="1" applyFont="1" applyFill="1" applyBorder="1" applyAlignment="1" applyProtection="1">
      <alignment horizontal="center" vertical="center" wrapText="1"/>
      <protection locked="0"/>
    </xf>
    <xf numFmtId="172" fontId="20" fillId="2" borderId="2" xfId="0" applyNumberFormat="1" applyFont="1" applyFill="1" applyBorder="1" applyAlignment="1" applyProtection="1">
      <alignment horizontal="center" vertical="center" wrapText="1"/>
      <protection locked="0"/>
    </xf>
    <xf numFmtId="172" fontId="18" fillId="2" borderId="2" xfId="30" applyNumberFormat="1" applyFont="1" applyFill="1" applyBorder="1" applyAlignment="1" applyProtection="1">
      <alignment horizontal="center" vertical="center" wrapText="1"/>
      <protection locked="0"/>
    </xf>
    <xf numFmtId="168" fontId="18" fillId="2" borderId="2" xfId="30" applyNumberFormat="1" applyFont="1" applyFill="1" applyBorder="1" applyAlignment="1" applyProtection="1">
      <alignment horizontal="center" vertical="center" wrapText="1"/>
      <protection locked="0"/>
    </xf>
    <xf numFmtId="168" fontId="18" fillId="2" borderId="2" xfId="30" applyNumberFormat="1" applyFont="1" applyFill="1" applyBorder="1" applyAlignment="1" applyProtection="1">
      <alignment horizontal="center" vertical="center"/>
      <protection locked="0"/>
    </xf>
    <xf numFmtId="178" fontId="18" fillId="2" borderId="2" xfId="0" applyNumberFormat="1" applyFont="1" applyFill="1" applyBorder="1" applyAlignment="1" applyProtection="1">
      <alignment horizontal="center" vertical="center" wrapText="1"/>
      <protection locked="0"/>
    </xf>
    <xf numFmtId="173" fontId="19" fillId="2" borderId="2" xfId="24" applyNumberFormat="1" applyFont="1" applyFill="1" applyBorder="1" applyAlignment="1" applyProtection="1">
      <alignment horizontal="left" vertical="center" wrapText="1"/>
      <protection locked="0"/>
    </xf>
    <xf numFmtId="177" fontId="19" fillId="2" borderId="2" xfId="0" applyNumberFormat="1" applyFont="1" applyFill="1" applyBorder="1" applyAlignment="1" applyProtection="1">
      <alignment horizontal="left" vertical="center" wrapText="1"/>
      <protection locked="0"/>
    </xf>
    <xf numFmtId="179" fontId="19" fillId="2" borderId="2" xfId="29" applyNumberFormat="1" applyFont="1" applyFill="1" applyBorder="1" applyAlignment="1" applyProtection="1">
      <alignment horizontal="center" vertical="center" wrapText="1"/>
      <protection locked="0"/>
    </xf>
    <xf numFmtId="172" fontId="19" fillId="2" borderId="2" xfId="29" applyNumberFormat="1" applyFont="1" applyFill="1" applyBorder="1" applyAlignment="1" applyProtection="1">
      <alignment horizontal="center" vertical="center" wrapText="1"/>
      <protection locked="0"/>
    </xf>
    <xf numFmtId="172" fontId="19" fillId="2" borderId="2" xfId="0" applyNumberFormat="1" applyFont="1" applyFill="1" applyBorder="1" applyAlignment="1" applyProtection="1">
      <alignment horizontal="center" vertical="center" wrapText="1"/>
      <protection locked="0"/>
    </xf>
    <xf numFmtId="172" fontId="31" fillId="2" borderId="2" xfId="0" applyNumberFormat="1" applyFont="1" applyFill="1" applyBorder="1" applyAlignment="1" applyProtection="1">
      <alignment horizontal="center" vertical="center" wrapText="1"/>
      <protection locked="0"/>
    </xf>
    <xf numFmtId="166" fontId="18" fillId="2" borderId="2" xfId="29" applyFont="1" applyFill="1" applyBorder="1" applyAlignment="1" applyProtection="1">
      <alignment horizontal="center" vertical="center" wrapText="1"/>
      <protection locked="0"/>
    </xf>
    <xf numFmtId="164" fontId="19" fillId="4" borderId="8" xfId="0" applyFont="1" applyFill="1" applyBorder="1" applyAlignment="1" applyProtection="1">
      <alignment horizontal="left" vertical="center"/>
      <protection locked="0"/>
    </xf>
    <xf numFmtId="164" fontId="19" fillId="4" borderId="8" xfId="0" applyFont="1" applyFill="1" applyBorder="1" applyAlignment="1" applyProtection="1">
      <alignment horizontal="left" vertical="center" wrapText="1"/>
      <protection locked="0"/>
    </xf>
    <xf numFmtId="168" fontId="19" fillId="4" borderId="8" xfId="0" applyNumberFormat="1" applyFont="1" applyFill="1" applyBorder="1" applyAlignment="1" applyProtection="1">
      <alignment horizontal="left" vertical="center" wrapText="1"/>
      <protection locked="0"/>
    </xf>
    <xf numFmtId="177" fontId="19" fillId="4" borderId="8" xfId="0" applyNumberFormat="1" applyFont="1" applyFill="1" applyBorder="1" applyAlignment="1" applyProtection="1">
      <alignment horizontal="left" vertical="center" wrapText="1"/>
      <protection locked="0"/>
    </xf>
    <xf numFmtId="166" fontId="18" fillId="4" borderId="8" xfId="29" applyFont="1" applyFill="1" applyBorder="1" applyAlignment="1" applyProtection="1">
      <alignment horizontal="center" vertical="center" wrapText="1"/>
      <protection locked="0"/>
    </xf>
    <xf numFmtId="172" fontId="19" fillId="4" borderId="8" xfId="29" applyNumberFormat="1" applyFont="1" applyFill="1" applyBorder="1" applyAlignment="1" applyProtection="1">
      <alignment horizontal="center" vertical="center" wrapText="1"/>
      <protection locked="0"/>
    </xf>
    <xf numFmtId="172" fontId="19" fillId="4" borderId="8" xfId="0" applyNumberFormat="1" applyFont="1" applyFill="1" applyBorder="1" applyAlignment="1" applyProtection="1">
      <alignment horizontal="center" vertical="center" wrapText="1"/>
      <protection locked="0"/>
    </xf>
    <xf numFmtId="172" fontId="18" fillId="4" borderId="8" xfId="0" applyNumberFormat="1" applyFont="1" applyFill="1" applyBorder="1" applyAlignment="1" applyProtection="1">
      <alignment horizontal="center" vertical="center" wrapText="1"/>
      <protection locked="0"/>
    </xf>
    <xf numFmtId="172" fontId="31" fillId="4" borderId="8" xfId="0" applyNumberFormat="1" applyFont="1" applyFill="1" applyBorder="1" applyAlignment="1" applyProtection="1">
      <alignment horizontal="center" vertical="center" wrapText="1"/>
      <protection locked="0"/>
    </xf>
    <xf numFmtId="172" fontId="18" fillId="4" borderId="2" xfId="0" applyNumberFormat="1" applyFont="1" applyFill="1" applyBorder="1" applyAlignment="1" applyProtection="1">
      <alignment horizontal="center" vertical="center" wrapText="1"/>
      <protection locked="0"/>
    </xf>
    <xf numFmtId="172" fontId="18" fillId="4" borderId="8" xfId="30" applyNumberFormat="1" applyFont="1" applyFill="1" applyBorder="1" applyAlignment="1" applyProtection="1">
      <alignment horizontal="center" vertical="center" wrapText="1"/>
      <protection locked="0"/>
    </xf>
    <xf numFmtId="168" fontId="19" fillId="4" borderId="8" xfId="30" applyNumberFormat="1" applyFont="1" applyFill="1" applyBorder="1" applyAlignment="1" applyProtection="1">
      <alignment horizontal="center" vertical="center"/>
      <protection/>
    </xf>
    <xf numFmtId="164" fontId="13" fillId="4" borderId="0" xfId="0" applyFont="1" applyFill="1" applyBorder="1" applyAlignment="1" applyProtection="1">
      <alignment horizontal="left" vertical="center"/>
      <protection locked="0"/>
    </xf>
    <xf numFmtId="164" fontId="13" fillId="4" borderId="0" xfId="0" applyFont="1" applyFill="1" applyAlignment="1" applyProtection="1">
      <alignment horizontal="left" vertical="center"/>
      <protection locked="0"/>
    </xf>
    <xf numFmtId="168" fontId="19" fillId="4" borderId="8" xfId="30" applyNumberFormat="1" applyFont="1" applyFill="1" applyBorder="1" applyAlignment="1" applyProtection="1">
      <alignment horizontal="center" vertical="center"/>
      <protection locked="0"/>
    </xf>
    <xf numFmtId="171" fontId="13" fillId="4" borderId="0" xfId="0" applyNumberFormat="1" applyFont="1" applyFill="1" applyBorder="1" applyAlignment="1" applyProtection="1">
      <alignment horizontal="left" vertical="center"/>
      <protection locked="0"/>
    </xf>
    <xf numFmtId="164" fontId="18" fillId="2" borderId="8" xfId="0" applyFont="1" applyFill="1" applyBorder="1" applyAlignment="1" applyProtection="1">
      <alignment horizontal="left" vertical="center" wrapText="1"/>
      <protection locked="0"/>
    </xf>
    <xf numFmtId="168" fontId="33" fillId="2" borderId="8" xfId="22" applyNumberFormat="1" applyFont="1" applyFill="1" applyBorder="1" applyAlignment="1" applyProtection="1">
      <alignment vertical="center" wrapText="1"/>
      <protection locked="0"/>
    </xf>
    <xf numFmtId="177" fontId="18" fillId="2" borderId="8" xfId="0" applyNumberFormat="1" applyFont="1" applyFill="1" applyBorder="1" applyAlignment="1" applyProtection="1">
      <alignment horizontal="left" vertical="center" wrapText="1"/>
      <protection locked="0"/>
    </xf>
    <xf numFmtId="173" fontId="18" fillId="2" borderId="8" xfId="0" applyNumberFormat="1" applyFont="1" applyFill="1" applyBorder="1" applyAlignment="1" applyProtection="1">
      <alignment horizontal="center" vertical="center" wrapText="1"/>
      <protection locked="0"/>
    </xf>
    <xf numFmtId="172" fontId="18" fillId="2" borderId="8" xfId="0" applyNumberFormat="1" applyFont="1" applyFill="1" applyBorder="1" applyAlignment="1" applyProtection="1">
      <alignment horizontal="center" vertical="center" wrapText="1"/>
      <protection locked="0"/>
    </xf>
    <xf numFmtId="172" fontId="21" fillId="2" borderId="8" xfId="0" applyNumberFormat="1" applyFont="1" applyFill="1" applyBorder="1" applyAlignment="1" applyProtection="1">
      <alignment horizontal="center" vertical="center" wrapText="1"/>
      <protection locked="0"/>
    </xf>
    <xf numFmtId="172" fontId="20" fillId="2" borderId="8" xfId="0" applyNumberFormat="1" applyFont="1" applyFill="1" applyBorder="1" applyAlignment="1" applyProtection="1">
      <alignment horizontal="center" vertical="center" wrapText="1"/>
      <protection locked="0"/>
    </xf>
    <xf numFmtId="172" fontId="18" fillId="2" borderId="8" xfId="30" applyNumberFormat="1" applyFont="1" applyFill="1" applyBorder="1" applyAlignment="1" applyProtection="1">
      <alignment horizontal="center" vertical="center" wrapText="1"/>
      <protection locked="0"/>
    </xf>
    <xf numFmtId="168" fontId="18" fillId="2" borderId="8" xfId="30" applyNumberFormat="1" applyFont="1" applyFill="1" applyBorder="1" applyAlignment="1" applyProtection="1">
      <alignment horizontal="center" vertical="center"/>
      <protection/>
    </xf>
    <xf numFmtId="164" fontId="7" fillId="2" borderId="0" xfId="0" applyFont="1" applyFill="1" applyBorder="1" applyAlignment="1" applyProtection="1">
      <alignment horizontal="left" vertical="center" wrapText="1"/>
      <protection locked="0"/>
    </xf>
    <xf numFmtId="164" fontId="21" fillId="2" borderId="2" xfId="0" applyFont="1" applyFill="1" applyBorder="1" applyAlignment="1" applyProtection="1">
      <alignment horizontal="left" vertical="center"/>
      <protection locked="0"/>
    </xf>
    <xf numFmtId="164" fontId="21" fillId="2" borderId="2" xfId="0" applyFont="1" applyFill="1" applyBorder="1" applyAlignment="1" applyProtection="1">
      <alignment horizontal="left" vertical="center" wrapText="1"/>
      <protection locked="0"/>
    </xf>
    <xf numFmtId="168" fontId="34" fillId="2" borderId="2" xfId="22" applyNumberFormat="1" applyFont="1" applyFill="1" applyBorder="1" applyAlignment="1" applyProtection="1">
      <alignment vertical="center" wrapText="1"/>
      <protection locked="0"/>
    </xf>
    <xf numFmtId="179" fontId="21" fillId="2" borderId="2" xfId="0" applyNumberFormat="1" applyFont="1" applyFill="1" applyBorder="1" applyAlignment="1" applyProtection="1">
      <alignment horizontal="center" vertical="center" wrapText="1"/>
      <protection locked="0"/>
    </xf>
    <xf numFmtId="172" fontId="21" fillId="2" borderId="2" xfId="0" applyNumberFormat="1" applyFont="1" applyFill="1" applyBorder="1" applyAlignment="1" applyProtection="1">
      <alignment horizontal="center" vertical="center" wrapText="1"/>
      <protection locked="0"/>
    </xf>
    <xf numFmtId="172" fontId="28" fillId="2" borderId="2" xfId="0" applyNumberFormat="1" applyFont="1" applyFill="1" applyBorder="1" applyAlignment="1" applyProtection="1">
      <alignment horizontal="center" vertical="center" wrapText="1"/>
      <protection locked="0"/>
    </xf>
    <xf numFmtId="172" fontId="21" fillId="2" borderId="2" xfId="30" applyNumberFormat="1" applyFont="1" applyFill="1" applyBorder="1" applyAlignment="1" applyProtection="1">
      <alignment horizontal="center" vertical="center" wrapText="1"/>
      <protection locked="0"/>
    </xf>
    <xf numFmtId="168" fontId="21" fillId="2" borderId="2" xfId="30" applyNumberFormat="1" applyFont="1" applyFill="1" applyBorder="1" applyAlignment="1" applyProtection="1">
      <alignment horizontal="center" vertical="center" wrapText="1"/>
      <protection/>
    </xf>
    <xf numFmtId="168" fontId="21" fillId="2" borderId="2" xfId="30" applyNumberFormat="1" applyFont="1" applyFill="1" applyBorder="1" applyAlignment="1" applyProtection="1">
      <alignment horizontal="center" vertical="center"/>
      <protection/>
    </xf>
    <xf numFmtId="164" fontId="22" fillId="2" borderId="0" xfId="0" applyFont="1" applyFill="1" applyBorder="1" applyAlignment="1" applyProtection="1">
      <alignment horizontal="left" vertical="center"/>
      <protection locked="0"/>
    </xf>
    <xf numFmtId="164" fontId="22" fillId="2" borderId="0" xfId="0" applyFont="1" applyFill="1" applyAlignment="1" applyProtection="1">
      <alignment horizontal="left" vertical="center"/>
      <protection locked="0"/>
    </xf>
    <xf numFmtId="168" fontId="18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3" fillId="2" borderId="24" xfId="0" applyFont="1" applyFill="1" applyBorder="1" applyAlignment="1" applyProtection="1">
      <alignment horizontal="left" vertical="center"/>
      <protection locked="0"/>
    </xf>
    <xf numFmtId="164" fontId="18" fillId="2" borderId="2" xfId="26" applyFont="1" applyFill="1" applyBorder="1" applyAlignment="1" applyProtection="1">
      <alignment horizontal="left" vertical="center"/>
      <protection locked="0"/>
    </xf>
    <xf numFmtId="177" fontId="18" fillId="2" borderId="2" xfId="0" applyNumberFormat="1" applyFont="1" applyFill="1" applyBorder="1" applyAlignment="1" applyProtection="1">
      <alignment horizontal="left" vertical="center" wrapText="1"/>
      <protection locked="0"/>
    </xf>
    <xf numFmtId="172" fontId="18" fillId="2" borderId="2" xfId="29" applyNumberFormat="1" applyFont="1" applyFill="1" applyBorder="1" applyAlignment="1" applyProtection="1">
      <alignment horizontal="center" vertical="center" wrapText="1"/>
      <protection locked="0"/>
    </xf>
    <xf numFmtId="180" fontId="18" fillId="2" borderId="2" xfId="30" applyNumberFormat="1" applyFont="1" applyFill="1" applyBorder="1" applyAlignment="1" applyProtection="1">
      <alignment horizontal="center" vertical="center" wrapText="1"/>
      <protection locked="0"/>
    </xf>
    <xf numFmtId="168" fontId="19" fillId="2" borderId="2" xfId="0" applyNumberFormat="1" applyFont="1" applyFill="1" applyBorder="1" applyAlignment="1" applyProtection="1">
      <alignment horizontal="center" vertical="center" wrapText="1"/>
      <protection locked="0"/>
    </xf>
    <xf numFmtId="172" fontId="35" fillId="2" borderId="2" xfId="0" applyNumberFormat="1" applyFont="1" applyFill="1" applyBorder="1" applyAlignment="1" applyProtection="1">
      <alignment horizontal="center" vertical="center" wrapText="1"/>
      <protection locked="0"/>
    </xf>
    <xf numFmtId="172" fontId="36" fillId="2" borderId="2" xfId="0" applyNumberFormat="1" applyFont="1" applyFill="1" applyBorder="1" applyAlignment="1" applyProtection="1">
      <alignment horizontal="center" vertical="center" wrapText="1"/>
      <protection locked="0"/>
    </xf>
    <xf numFmtId="181" fontId="13" fillId="2" borderId="0" xfId="0" applyNumberFormat="1" applyFont="1" applyFill="1" applyBorder="1" applyAlignment="1" applyProtection="1">
      <alignment horizontal="left" vertical="center" wrapText="1"/>
      <protection locked="0"/>
    </xf>
    <xf numFmtId="181" fontId="13" fillId="2" borderId="2" xfId="0" applyNumberFormat="1" applyFont="1" applyFill="1" applyBorder="1" applyAlignment="1" applyProtection="1">
      <alignment horizontal="left" vertical="center" wrapText="1"/>
      <protection locked="0"/>
    </xf>
    <xf numFmtId="168" fontId="21" fillId="2" borderId="2" xfId="0" applyNumberFormat="1" applyFont="1" applyFill="1" applyBorder="1" applyAlignment="1" applyProtection="1">
      <alignment horizontal="left" vertical="center" wrapText="1"/>
      <protection locked="0"/>
    </xf>
    <xf numFmtId="168" fontId="35" fillId="2" borderId="2" xfId="0" applyNumberFormat="1" applyFont="1" applyFill="1" applyBorder="1" applyAlignment="1" applyProtection="1">
      <alignment horizontal="center" vertical="center" wrapText="1"/>
      <protection locked="0"/>
    </xf>
    <xf numFmtId="181" fontId="22" fillId="2" borderId="0" xfId="0" applyNumberFormat="1" applyFont="1" applyFill="1" applyBorder="1" applyAlignment="1" applyProtection="1">
      <alignment horizontal="left" vertical="center" wrapText="1"/>
      <protection locked="0"/>
    </xf>
    <xf numFmtId="181" fontId="22" fillId="2" borderId="2" xfId="0" applyNumberFormat="1" applyFont="1" applyFill="1" applyBorder="1" applyAlignment="1" applyProtection="1">
      <alignment horizontal="left" vertical="center" wrapText="1"/>
      <protection locked="0"/>
    </xf>
    <xf numFmtId="177" fontId="21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37" fillId="2" borderId="0" xfId="21" applyFont="1" applyFill="1" applyBorder="1" applyAlignment="1" applyProtection="1">
      <alignment vertical="center" wrapText="1"/>
      <protection locked="0"/>
    </xf>
    <xf numFmtId="168" fontId="38" fillId="2" borderId="0" xfId="21" applyNumberFormat="1" applyFont="1" applyFill="1" applyBorder="1" applyAlignment="1" applyProtection="1">
      <alignment vertical="center" wrapText="1"/>
      <protection locked="0"/>
    </xf>
    <xf numFmtId="168" fontId="39" fillId="2" borderId="0" xfId="21" applyNumberFormat="1" applyFont="1" applyFill="1" applyBorder="1" applyAlignment="1" applyProtection="1">
      <alignment vertical="center" wrapText="1"/>
      <protection locked="0"/>
    </xf>
    <xf numFmtId="168" fontId="16" fillId="2" borderId="0" xfId="21" applyNumberFormat="1" applyFont="1" applyFill="1" applyBorder="1" applyAlignment="1" applyProtection="1">
      <alignment vertical="center" wrapText="1"/>
      <protection locked="0"/>
    </xf>
    <xf numFmtId="168" fontId="16" fillId="2" borderId="0" xfId="21" applyNumberFormat="1" applyFont="1" applyFill="1" applyBorder="1" applyAlignment="1" applyProtection="1">
      <alignment horizontal="center" vertical="center" wrapText="1"/>
      <protection locked="0"/>
    </xf>
    <xf numFmtId="164" fontId="5" fillId="2" borderId="0" xfId="21" applyFont="1" applyFill="1" applyBorder="1" applyAlignment="1" applyProtection="1">
      <alignment vertical="center" wrapText="1"/>
      <protection locked="0"/>
    </xf>
    <xf numFmtId="164" fontId="37" fillId="2" borderId="0" xfId="21" applyFont="1" applyFill="1" applyProtection="1">
      <alignment/>
      <protection locked="0"/>
    </xf>
    <xf numFmtId="168" fontId="38" fillId="2" borderId="0" xfId="0" applyNumberFormat="1" applyFont="1" applyFill="1" applyBorder="1" applyAlignment="1" applyProtection="1">
      <alignment horizontal="center" vertical="center" wrapText="1"/>
      <protection locked="0"/>
    </xf>
    <xf numFmtId="164" fontId="37" fillId="2" borderId="2" xfId="0" applyNumberFormat="1" applyFont="1" applyFill="1" applyBorder="1" applyAlignment="1" applyProtection="1">
      <alignment horizontal="center" vertical="center"/>
      <protection locked="0"/>
    </xf>
    <xf numFmtId="168" fontId="37" fillId="2" borderId="2" xfId="0" applyNumberFormat="1" applyFont="1" applyFill="1" applyBorder="1" applyAlignment="1" applyProtection="1">
      <alignment horizontal="left" vertical="top" wrapText="1"/>
      <protection locked="0"/>
    </xf>
    <xf numFmtId="171" fontId="37" fillId="2" borderId="2" xfId="0" applyNumberFormat="1" applyFont="1" applyFill="1" applyBorder="1" applyAlignment="1" applyProtection="1">
      <alignment vertical="center" wrapText="1"/>
      <protection locked="0"/>
    </xf>
    <xf numFmtId="172" fontId="37" fillId="2" borderId="2" xfId="0" applyNumberFormat="1" applyFont="1" applyFill="1" applyBorder="1" applyAlignment="1" applyProtection="1">
      <alignment horizontal="center" vertical="center"/>
      <protection locked="0"/>
    </xf>
    <xf numFmtId="172" fontId="24" fillId="2" borderId="2" xfId="0" applyNumberFormat="1" applyFont="1" applyFill="1" applyBorder="1" applyAlignment="1" applyProtection="1">
      <alignment horizontal="center" vertical="center"/>
      <protection locked="0"/>
    </xf>
    <xf numFmtId="172" fontId="37" fillId="2" borderId="2" xfId="0" applyNumberFormat="1" applyFont="1" applyFill="1" applyBorder="1" applyAlignment="1" applyProtection="1">
      <alignment horizontal="center" vertical="center" wrapText="1"/>
      <protection locked="0"/>
    </xf>
    <xf numFmtId="168" fontId="39" fillId="2" borderId="0" xfId="0" applyNumberFormat="1" applyFont="1" applyFill="1" applyBorder="1" applyAlignment="1" applyProtection="1">
      <alignment horizontal="center" vertical="center" wrapText="1"/>
      <protection locked="0"/>
    </xf>
    <xf numFmtId="168" fontId="13" fillId="2" borderId="0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0" xfId="21" applyFont="1" applyFill="1" applyProtection="1">
      <alignment/>
      <protection locked="0"/>
    </xf>
    <xf numFmtId="164" fontId="37" fillId="2" borderId="0" xfId="0" applyFont="1" applyFill="1" applyAlignment="1" applyProtection="1">
      <alignment horizontal="center" vertical="center"/>
      <protection locked="0"/>
    </xf>
    <xf numFmtId="164" fontId="38" fillId="2" borderId="0" xfId="21" applyFont="1" applyFill="1" applyBorder="1" applyAlignment="1" applyProtection="1">
      <alignment/>
      <protection locked="0"/>
    </xf>
    <xf numFmtId="164" fontId="37" fillId="2" borderId="0" xfId="0" applyFont="1" applyFill="1" applyBorder="1" applyAlignment="1" applyProtection="1">
      <alignment horizontal="center" vertical="center"/>
      <protection locked="0"/>
    </xf>
    <xf numFmtId="168" fontId="37" fillId="2" borderId="0" xfId="0" applyNumberFormat="1" applyFont="1" applyFill="1" applyBorder="1" applyAlignment="1" applyProtection="1">
      <alignment horizontal="center" vertical="center" wrapText="1"/>
      <protection locked="0"/>
    </xf>
    <xf numFmtId="164" fontId="19" fillId="2" borderId="1" xfId="0" applyFont="1" applyFill="1" applyBorder="1" applyAlignment="1" applyProtection="1">
      <alignment horizontal="left" vertical="center" wrapText="1"/>
      <protection locked="0"/>
    </xf>
    <xf numFmtId="164" fontId="38" fillId="2" borderId="2" xfId="0" applyFont="1" applyFill="1" applyBorder="1" applyAlignment="1" applyProtection="1">
      <alignment horizontal="center" vertical="center"/>
      <protection locked="0"/>
    </xf>
    <xf numFmtId="164" fontId="38" fillId="2" borderId="3" xfId="0" applyFont="1" applyFill="1" applyBorder="1" applyAlignment="1" applyProtection="1">
      <alignment horizontal="center" vertical="center"/>
      <protection locked="0"/>
    </xf>
    <xf numFmtId="164" fontId="38" fillId="2" borderId="2" xfId="0" applyFont="1" applyFill="1" applyBorder="1" applyAlignment="1" applyProtection="1">
      <alignment horizontal="center" vertical="center" wrapText="1"/>
      <protection locked="0"/>
    </xf>
    <xf numFmtId="182" fontId="38" fillId="2" borderId="5" xfId="0" applyNumberFormat="1" applyFont="1" applyFill="1" applyBorder="1" applyAlignment="1" applyProtection="1">
      <alignment horizontal="center" vertical="center"/>
      <protection locked="0"/>
    </xf>
    <xf numFmtId="164" fontId="37" fillId="2" borderId="2" xfId="0" applyFont="1" applyFill="1" applyBorder="1" applyAlignment="1" applyProtection="1">
      <alignment vertical="center"/>
      <protection locked="0"/>
    </xf>
    <xf numFmtId="164" fontId="37" fillId="2" borderId="3" xfId="0" applyFont="1" applyFill="1" applyBorder="1" applyAlignment="1" applyProtection="1">
      <alignment vertical="center" wrapText="1"/>
      <protection locked="0"/>
    </xf>
    <xf numFmtId="164" fontId="37" fillId="2" borderId="2" xfId="0" applyFont="1" applyFill="1" applyBorder="1" applyAlignment="1" applyProtection="1">
      <alignment horizontal="center" vertical="center" wrapText="1"/>
      <protection locked="0"/>
    </xf>
    <xf numFmtId="177" fontId="37" fillId="2" borderId="2" xfId="0" applyNumberFormat="1" applyFont="1" applyFill="1" applyBorder="1" applyAlignment="1" applyProtection="1">
      <alignment horizontal="center" vertical="center"/>
      <protection locked="0"/>
    </xf>
    <xf numFmtId="164" fontId="37" fillId="2" borderId="2" xfId="0" applyFont="1" applyFill="1" applyBorder="1" applyAlignment="1" applyProtection="1">
      <alignment/>
      <protection locked="0"/>
    </xf>
    <xf numFmtId="164" fontId="37" fillId="2" borderId="3" xfId="0" applyFont="1" applyFill="1" applyBorder="1" applyAlignment="1" applyProtection="1">
      <alignment wrapText="1"/>
      <protection locked="0"/>
    </xf>
    <xf numFmtId="164" fontId="37" fillId="2" borderId="2" xfId="0" applyFont="1" applyFill="1" applyBorder="1" applyAlignment="1" applyProtection="1">
      <alignment horizontal="center" vertical="top"/>
      <protection locked="0"/>
    </xf>
    <xf numFmtId="177" fontId="37" fillId="2" borderId="2" xfId="0" applyNumberFormat="1" applyFont="1" applyFill="1" applyBorder="1" applyAlignment="1" applyProtection="1">
      <alignment horizontal="center"/>
      <protection locked="0"/>
    </xf>
    <xf numFmtId="168" fontId="19" fillId="2" borderId="0" xfId="0" applyNumberFormat="1" applyFont="1" applyFill="1" applyBorder="1" applyAlignment="1" applyProtection="1">
      <alignment horizontal="center" vertical="center" wrapText="1"/>
      <protection locked="0"/>
    </xf>
    <xf numFmtId="164" fontId="37" fillId="2" borderId="2" xfId="0" applyFont="1" applyFill="1" applyBorder="1" applyAlignment="1" applyProtection="1">
      <alignment wrapText="1"/>
      <protection locked="0"/>
    </xf>
    <xf numFmtId="164" fontId="37" fillId="2" borderId="5" xfId="0" applyFont="1" applyFill="1" applyBorder="1" applyAlignment="1" applyProtection="1">
      <alignment wrapText="1"/>
      <protection locked="0"/>
    </xf>
    <xf numFmtId="164" fontId="37" fillId="2" borderId="2" xfId="0" applyFont="1" applyFill="1" applyBorder="1" applyAlignment="1" applyProtection="1">
      <alignment horizontal="left" wrapText="1"/>
      <protection locked="0"/>
    </xf>
    <xf numFmtId="164" fontId="37" fillId="2" borderId="3" xfId="0" applyFont="1" applyFill="1" applyBorder="1" applyAlignment="1" applyProtection="1">
      <alignment horizontal="left" wrapText="1"/>
      <protection locked="0"/>
    </xf>
    <xf numFmtId="164" fontId="37" fillId="2" borderId="25" xfId="0" applyFont="1" applyFill="1" applyBorder="1" applyAlignment="1" applyProtection="1">
      <alignment horizontal="left" wrapText="1"/>
      <protection locked="0"/>
    </xf>
    <xf numFmtId="164" fontId="37" fillId="2" borderId="2" xfId="0" applyFont="1" applyFill="1" applyBorder="1" applyAlignment="1" applyProtection="1">
      <alignment horizontal="center"/>
      <protection locked="0"/>
    </xf>
    <xf numFmtId="164" fontId="38" fillId="2" borderId="2" xfId="0" applyFont="1" applyFill="1" applyBorder="1" applyAlignment="1" applyProtection="1">
      <alignment horizontal="center"/>
      <protection locked="0"/>
    </xf>
    <xf numFmtId="182" fontId="38" fillId="2" borderId="2" xfId="0" applyNumberFormat="1" applyFont="1" applyFill="1" applyBorder="1" applyAlignment="1" applyProtection="1">
      <alignment horizontal="center"/>
      <protection locked="0"/>
    </xf>
    <xf numFmtId="177" fontId="38" fillId="2" borderId="2" xfId="0" applyNumberFormat="1" applyFont="1" applyFill="1" applyBorder="1" applyAlignment="1" applyProtection="1">
      <alignment horizontal="center"/>
      <protection locked="0"/>
    </xf>
    <xf numFmtId="175" fontId="37" fillId="2" borderId="2" xfId="0" applyNumberFormat="1" applyFont="1" applyFill="1" applyBorder="1" applyAlignment="1" applyProtection="1">
      <alignment horizontal="center"/>
      <protection locked="0"/>
    </xf>
    <xf numFmtId="164" fontId="37" fillId="2" borderId="0" xfId="0" applyFont="1" applyFill="1" applyBorder="1" applyAlignment="1" applyProtection="1">
      <alignment horizontal="center" vertical="center" wrapText="1"/>
      <protection locked="0"/>
    </xf>
    <xf numFmtId="164" fontId="40" fillId="2" borderId="0" xfId="0" applyFont="1" applyFill="1" applyAlignment="1" applyProtection="1">
      <alignment horizontal="left" vertical="center"/>
      <protection locked="0"/>
    </xf>
    <xf numFmtId="164" fontId="40" fillId="2" borderId="0" xfId="0" applyFont="1" applyFill="1" applyAlignment="1" applyProtection="1">
      <alignment horizontal="center" vertical="center"/>
      <protection locked="0"/>
    </xf>
    <xf numFmtId="164" fontId="40" fillId="2" borderId="0" xfId="0" applyFont="1" applyFill="1" applyAlignment="1" applyProtection="1">
      <alignment/>
      <protection locked="0"/>
    </xf>
    <xf numFmtId="164" fontId="37" fillId="2" borderId="0" xfId="0" applyFont="1" applyFill="1" applyAlignment="1" applyProtection="1">
      <alignment/>
      <protection locked="0"/>
    </xf>
    <xf numFmtId="164" fontId="24" fillId="2" borderId="0" xfId="0" applyFont="1" applyFill="1" applyAlignment="1" applyProtection="1">
      <alignment/>
      <protection locked="0"/>
    </xf>
    <xf numFmtId="168" fontId="37" fillId="2" borderId="0" xfId="0" applyNumberFormat="1" applyFont="1" applyFill="1" applyAlignment="1" applyProtection="1">
      <alignment/>
      <protection locked="0"/>
    </xf>
    <xf numFmtId="164" fontId="40" fillId="2" borderId="0" xfId="0" applyFont="1" applyFill="1" applyAlignment="1" applyProtection="1">
      <alignment vertical="center"/>
      <protection locked="0"/>
    </xf>
    <xf numFmtId="164" fontId="40" fillId="2" borderId="0" xfId="0" applyFont="1" applyFill="1" applyBorder="1" applyAlignment="1" applyProtection="1">
      <alignment horizontal="left" vertical="center" wrapText="1"/>
      <protection locked="0"/>
    </xf>
    <xf numFmtId="171" fontId="37" fillId="2" borderId="0" xfId="0" applyNumberFormat="1" applyFont="1" applyFill="1" applyAlignment="1" applyProtection="1">
      <alignment/>
      <protection locked="0"/>
    </xf>
    <xf numFmtId="171" fontId="24" fillId="2" borderId="0" xfId="0" applyNumberFormat="1" applyFont="1" applyFill="1" applyAlignment="1" applyProtection="1">
      <alignment/>
      <protection locked="0"/>
    </xf>
    <xf numFmtId="171" fontId="11" fillId="2" borderId="0" xfId="0" applyNumberFormat="1" applyFont="1" applyFill="1" applyAlignment="1" applyProtection="1">
      <alignment/>
      <protection locked="0"/>
    </xf>
    <xf numFmtId="164" fontId="8" fillId="2" borderId="0" xfId="26" applyFont="1" applyFill="1" applyBorder="1" applyAlignment="1" applyProtection="1">
      <alignment horizontal="left" vertical="top" wrapText="1"/>
      <protection locked="0"/>
    </xf>
    <xf numFmtId="164" fontId="11" fillId="2" borderId="0" xfId="0" applyFont="1" applyFill="1" applyBorder="1" applyAlignment="1" applyProtection="1">
      <alignment horizontal="center"/>
      <protection locked="0"/>
    </xf>
    <xf numFmtId="164" fontId="8" fillId="2" borderId="0" xfId="26" applyFont="1" applyFill="1" applyBorder="1" applyAlignment="1" applyProtection="1">
      <alignment horizontal="left" vertical="top"/>
      <protection locked="0"/>
    </xf>
    <xf numFmtId="179" fontId="8" fillId="2" borderId="0" xfId="0" applyNumberFormat="1" applyFont="1" applyFill="1" applyBorder="1" applyAlignment="1" applyProtection="1">
      <alignment horizontal="center"/>
      <protection locked="0"/>
    </xf>
    <xf numFmtId="164" fontId="41" fillId="2" borderId="0" xfId="0" applyFont="1" applyFill="1" applyAlignment="1" applyProtection="1">
      <alignment/>
      <protection locked="0"/>
    </xf>
    <xf numFmtId="164" fontId="7" fillId="2" borderId="0" xfId="0" applyFont="1" applyFill="1" applyBorder="1" applyAlignment="1" applyProtection="1">
      <alignment horizontal="center" vertical="center"/>
      <protection locked="0"/>
    </xf>
    <xf numFmtId="164" fontId="5" fillId="2" borderId="0" xfId="0" applyFont="1" applyFill="1" applyBorder="1" applyAlignment="1" applyProtection="1">
      <alignment horizontal="center" vertical="center"/>
      <protection locked="0"/>
    </xf>
    <xf numFmtId="164" fontId="5" fillId="2" borderId="0" xfId="0" applyFont="1" applyFill="1" applyBorder="1" applyAlignment="1" applyProtection="1">
      <alignment horizontal="center" vertical="center" wrapText="1"/>
      <protection locked="0"/>
    </xf>
    <xf numFmtId="168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168" fontId="6" fillId="2" borderId="0" xfId="0" applyNumberFormat="1" applyFont="1" applyFill="1" applyBorder="1" applyAlignment="1" applyProtection="1">
      <alignment horizontal="center" vertical="center" wrapText="1"/>
      <protection locked="0"/>
    </xf>
    <xf numFmtId="173" fontId="5" fillId="2" borderId="0" xfId="0" applyNumberFormat="1" applyFont="1" applyFill="1" applyBorder="1" applyAlignment="1" applyProtection="1">
      <alignment horizontal="center" vertical="center"/>
      <protection locked="0"/>
    </xf>
    <xf numFmtId="173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0" xfId="26" applyFont="1" applyFill="1" applyBorder="1" applyAlignment="1" applyProtection="1">
      <alignment horizontal="center" vertical="center"/>
      <protection locked="0"/>
    </xf>
    <xf numFmtId="164" fontId="42" fillId="2" borderId="0" xfId="0" applyFont="1" applyFill="1" applyAlignment="1" applyProtection="1">
      <alignment horizontal="center" vertical="center"/>
      <protection locked="0"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18" xfId="20"/>
    <cellStyle name="Обычный 3 2" xfId="21"/>
    <cellStyle name="Обычный_29 02 2012 _ Расчёт стоим  Комс -на-Амуре" xfId="22"/>
    <cellStyle name="Обычный_KS_ZRHG_рцк" xfId="23"/>
    <cellStyle name="Обычный_SSR5086" xfId="24"/>
    <cellStyle name="Обычный_ПНР" xfId="25"/>
    <cellStyle name="Обычный_РЦК2" xfId="26"/>
    <cellStyle name="Обычный_Расчет стоимости услуг ТЭР" xfId="27"/>
    <cellStyle name="Обычный_рцк" xfId="28"/>
    <cellStyle name="Процентный 2" xfId="29"/>
    <cellStyle name="Финансовый 2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0"/>
  <sheetViews>
    <sheetView tabSelected="1" view="pageBreakPreview" zoomScale="36" zoomScaleNormal="39" zoomScaleSheetLayoutView="36" workbookViewId="0" topLeftCell="P73">
      <selection activeCell="J92" sqref="J92"/>
    </sheetView>
  </sheetViews>
  <sheetFormatPr defaultColWidth="9.140625" defaultRowHeight="12.75"/>
  <cols>
    <col min="1" max="1" width="15.7109375" style="1" customWidth="1"/>
    <col min="2" max="2" width="37.8515625" style="2" customWidth="1"/>
    <col min="3" max="3" width="56.57421875" style="1" customWidth="1"/>
    <col min="4" max="5" width="20.7109375" style="1" customWidth="1"/>
    <col min="6" max="6" width="28.8515625" style="1" customWidth="1"/>
    <col min="7" max="7" width="27.140625" style="1" customWidth="1"/>
    <col min="8" max="8" width="28.8515625" style="1" customWidth="1"/>
    <col min="9" max="17" width="25.7109375" style="1" customWidth="1"/>
    <col min="18" max="18" width="29.28125" style="1" customWidth="1"/>
    <col min="19" max="19" width="25.7109375" style="1" customWidth="1"/>
    <col min="20" max="20" width="25.7109375" style="3" customWidth="1"/>
    <col min="21" max="21" width="25.7109375" style="1" customWidth="1"/>
    <col min="22" max="22" width="25.7109375" style="3" customWidth="1"/>
    <col min="23" max="23" width="25.7109375" style="1" customWidth="1"/>
    <col min="24" max="24" width="25.7109375" style="3" customWidth="1"/>
    <col min="25" max="26" width="25.7109375" style="1" customWidth="1"/>
    <col min="27" max="27" width="29.00390625" style="4" customWidth="1"/>
    <col min="28" max="28" width="31.8515625" style="4" customWidth="1"/>
    <col min="29" max="29" width="32.7109375" style="5" customWidth="1"/>
    <col min="30" max="30" width="22.421875" style="5" customWidth="1"/>
    <col min="31" max="64" width="8.8515625" style="5" customWidth="1"/>
    <col min="65" max="16384" width="8.8515625" style="0" customWidth="1"/>
  </cols>
  <sheetData>
    <row r="1" spans="1:28" s="8" customFormat="1" ht="45.75">
      <c r="A1" s="6"/>
      <c r="B1" s="7"/>
      <c r="T1" s="9"/>
      <c r="W1" s="6"/>
      <c r="X1" s="10"/>
      <c r="Y1" s="10"/>
      <c r="Z1" s="10"/>
      <c r="AA1" s="11"/>
      <c r="AB1" s="12"/>
    </row>
    <row r="2" spans="1:28" s="8" customFormat="1" ht="55.5" customHeight="1">
      <c r="A2" s="6"/>
      <c r="B2" s="13"/>
      <c r="C2" s="14"/>
      <c r="D2" s="13"/>
      <c r="E2" s="13"/>
      <c r="F2" s="13"/>
      <c r="G2" s="13"/>
      <c r="H2" s="13"/>
      <c r="I2" s="13"/>
      <c r="J2" s="13"/>
      <c r="K2" s="13"/>
      <c r="L2" s="13"/>
      <c r="M2" s="13"/>
      <c r="T2" s="9"/>
      <c r="W2" s="6"/>
      <c r="X2" s="10"/>
      <c r="Y2" s="10"/>
      <c r="Z2" s="10"/>
      <c r="AA2" s="11"/>
      <c r="AB2" s="12"/>
    </row>
    <row r="3" spans="1:28" s="8" customFormat="1" ht="51.75" customHeight="1">
      <c r="A3" s="6"/>
      <c r="B3" s="7"/>
      <c r="C3" s="15"/>
      <c r="T3" s="9"/>
      <c r="W3" s="6"/>
      <c r="X3" s="10"/>
      <c r="Y3" s="10"/>
      <c r="Z3" s="10"/>
      <c r="AA3" s="11"/>
      <c r="AB3" s="12"/>
    </row>
    <row r="4" spans="1:28" s="8" customFormat="1" ht="45.75">
      <c r="A4" s="6"/>
      <c r="B4" s="7"/>
      <c r="C4" s="16"/>
      <c r="T4" s="9"/>
      <c r="W4" s="6"/>
      <c r="X4" s="10"/>
      <c r="Y4" s="10"/>
      <c r="Z4" s="10"/>
      <c r="AA4" s="11"/>
      <c r="AB4" s="12"/>
    </row>
    <row r="5" spans="1:28" s="8" customFormat="1" ht="51.75" customHeight="1">
      <c r="A5" s="17" t="s">
        <v>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W5" s="6"/>
      <c r="X5" s="18"/>
      <c r="Y5" s="18"/>
      <c r="Z5" s="10"/>
      <c r="AA5" s="11"/>
      <c r="AB5" s="12"/>
    </row>
    <row r="6" spans="1:28" s="8" customFormat="1" ht="51" customHeight="1">
      <c r="A6" s="19"/>
      <c r="B6" s="7"/>
      <c r="C6" s="20"/>
      <c r="D6" s="21"/>
      <c r="E6" s="21"/>
      <c r="F6" s="21"/>
      <c r="G6" s="21"/>
      <c r="H6" s="21"/>
      <c r="I6" s="21"/>
      <c r="J6" s="21"/>
      <c r="K6" s="21"/>
      <c r="L6" s="21"/>
      <c r="M6" s="21"/>
      <c r="T6" s="9"/>
      <c r="W6" s="19"/>
      <c r="X6" s="22"/>
      <c r="Y6" s="23"/>
      <c r="Z6" s="24"/>
      <c r="AA6" s="11"/>
      <c r="AB6" s="12"/>
    </row>
    <row r="7" spans="1:28" s="8" customFormat="1" ht="60.75" customHeight="1">
      <c r="A7" s="19"/>
      <c r="B7" s="7"/>
      <c r="C7" s="20"/>
      <c r="D7" s="20"/>
      <c r="E7" s="20"/>
      <c r="F7" s="20"/>
      <c r="G7" s="20"/>
      <c r="H7" s="20"/>
      <c r="I7" s="25" t="s">
        <v>1</v>
      </c>
      <c r="J7" s="20"/>
      <c r="K7" s="20"/>
      <c r="L7" s="20"/>
      <c r="M7" s="20"/>
      <c r="T7" s="9"/>
      <c r="W7" s="19"/>
      <c r="X7" s="26"/>
      <c r="Y7" s="26"/>
      <c r="Z7" s="26"/>
      <c r="AA7" s="12"/>
      <c r="AB7" s="12"/>
    </row>
    <row r="8" spans="3:24" ht="57" customHeight="1">
      <c r="C8" s="27"/>
      <c r="D8" s="27"/>
      <c r="E8" s="27"/>
      <c r="F8" s="28"/>
      <c r="G8" s="28"/>
      <c r="H8" s="28"/>
      <c r="I8" s="28"/>
      <c r="J8" s="28"/>
      <c r="K8" s="28"/>
      <c r="L8" s="28"/>
      <c r="M8" s="28"/>
      <c r="N8" s="27"/>
      <c r="O8" s="27"/>
      <c r="P8" s="27"/>
      <c r="Q8" s="27"/>
      <c r="R8" s="27"/>
      <c r="S8" s="29"/>
      <c r="T8" s="30"/>
      <c r="V8" s="31"/>
      <c r="X8" s="31"/>
    </row>
    <row r="9" spans="1:28" ht="60.75" customHeight="1">
      <c r="A9" s="32" t="s">
        <v>2</v>
      </c>
      <c r="B9" s="32" t="s">
        <v>3</v>
      </c>
      <c r="C9" s="32" t="s">
        <v>4</v>
      </c>
      <c r="D9" s="32" t="s">
        <v>5</v>
      </c>
      <c r="E9" s="33" t="s">
        <v>6</v>
      </c>
      <c r="F9" s="34" t="s">
        <v>7</v>
      </c>
      <c r="G9" s="34"/>
      <c r="H9" s="34"/>
      <c r="I9" s="34"/>
      <c r="J9" s="34"/>
      <c r="K9" s="34"/>
      <c r="L9" s="34"/>
      <c r="M9" s="34"/>
      <c r="N9" s="35" t="s">
        <v>8</v>
      </c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</row>
    <row r="10" spans="1:28" ht="35.25" customHeight="1">
      <c r="A10" s="32"/>
      <c r="B10" s="32"/>
      <c r="C10" s="32"/>
      <c r="D10" s="32"/>
      <c r="E10" s="33"/>
      <c r="F10" s="36" t="s">
        <v>9</v>
      </c>
      <c r="G10" s="37" t="s">
        <v>10</v>
      </c>
      <c r="H10" s="37"/>
      <c r="I10" s="37"/>
      <c r="J10" s="37"/>
      <c r="K10" s="37"/>
      <c r="L10" s="37"/>
      <c r="M10" s="37"/>
      <c r="N10" s="38" t="s">
        <v>11</v>
      </c>
      <c r="O10" s="39" t="s">
        <v>12</v>
      </c>
      <c r="P10" s="39"/>
      <c r="Q10" s="39" t="s">
        <v>13</v>
      </c>
      <c r="R10" s="39"/>
      <c r="S10" s="40" t="s">
        <v>14</v>
      </c>
      <c r="T10" s="41" t="s">
        <v>15</v>
      </c>
      <c r="U10" s="40" t="s">
        <v>16</v>
      </c>
      <c r="V10" s="41" t="s">
        <v>17</v>
      </c>
      <c r="W10" s="40" t="s">
        <v>18</v>
      </c>
      <c r="X10" s="41" t="s">
        <v>19</v>
      </c>
      <c r="Y10" s="40" t="s">
        <v>20</v>
      </c>
      <c r="Z10" s="40" t="s">
        <v>21</v>
      </c>
      <c r="AA10" s="42" t="s">
        <v>22</v>
      </c>
      <c r="AB10" s="42" t="s">
        <v>23</v>
      </c>
    </row>
    <row r="11" spans="1:28" ht="20.25" customHeight="1">
      <c r="A11" s="32"/>
      <c r="B11" s="32"/>
      <c r="C11" s="32"/>
      <c r="D11" s="32"/>
      <c r="E11" s="33"/>
      <c r="F11" s="36"/>
      <c r="G11" s="32" t="s">
        <v>24</v>
      </c>
      <c r="H11" s="32" t="s">
        <v>25</v>
      </c>
      <c r="I11" s="32" t="s">
        <v>26</v>
      </c>
      <c r="J11" s="32" t="s">
        <v>27</v>
      </c>
      <c r="K11" s="32" t="s">
        <v>28</v>
      </c>
      <c r="L11" s="32" t="s">
        <v>20</v>
      </c>
      <c r="M11" s="43" t="s">
        <v>21</v>
      </c>
      <c r="N11" s="38"/>
      <c r="O11" s="39"/>
      <c r="P11" s="39"/>
      <c r="Q11" s="39"/>
      <c r="R11" s="39"/>
      <c r="S11" s="40"/>
      <c r="T11" s="41"/>
      <c r="U11" s="40"/>
      <c r="V11" s="41"/>
      <c r="W11" s="40"/>
      <c r="X11" s="41"/>
      <c r="Y11" s="40"/>
      <c r="Z11" s="40"/>
      <c r="AA11" s="42"/>
      <c r="AB11" s="42"/>
    </row>
    <row r="12" spans="1:28" ht="189.75" customHeight="1">
      <c r="A12" s="32"/>
      <c r="B12" s="32"/>
      <c r="C12" s="32"/>
      <c r="D12" s="32"/>
      <c r="E12" s="33"/>
      <c r="F12" s="36"/>
      <c r="G12" s="32"/>
      <c r="H12" s="32"/>
      <c r="I12" s="32"/>
      <c r="J12" s="32"/>
      <c r="K12" s="32"/>
      <c r="L12" s="32"/>
      <c r="M12" s="43"/>
      <c r="N12" s="38"/>
      <c r="O12" s="44" t="s">
        <v>29</v>
      </c>
      <c r="P12" s="44" t="s">
        <v>30</v>
      </c>
      <c r="Q12" s="44" t="s">
        <v>29</v>
      </c>
      <c r="R12" s="44" t="s">
        <v>30</v>
      </c>
      <c r="S12" s="40"/>
      <c r="T12" s="41"/>
      <c r="U12" s="40"/>
      <c r="V12" s="41"/>
      <c r="W12" s="40"/>
      <c r="X12" s="41"/>
      <c r="Y12" s="40"/>
      <c r="Z12" s="40"/>
      <c r="AA12" s="42"/>
      <c r="AB12" s="42"/>
    </row>
    <row r="13" spans="1:28" ht="26.25">
      <c r="A13" s="45">
        <v>1</v>
      </c>
      <c r="B13" s="46">
        <v>2</v>
      </c>
      <c r="C13" s="45">
        <v>3</v>
      </c>
      <c r="D13" s="46">
        <v>4</v>
      </c>
      <c r="E13" s="47">
        <v>5</v>
      </c>
      <c r="F13" s="48">
        <v>6</v>
      </c>
      <c r="G13" s="45">
        <v>7</v>
      </c>
      <c r="H13" s="46">
        <v>8</v>
      </c>
      <c r="I13" s="45">
        <v>9</v>
      </c>
      <c r="J13" s="46">
        <v>10</v>
      </c>
      <c r="K13" s="45">
        <v>11</v>
      </c>
      <c r="L13" s="46">
        <v>12</v>
      </c>
      <c r="M13" s="49">
        <v>13</v>
      </c>
      <c r="N13" s="50">
        <v>14</v>
      </c>
      <c r="O13" s="45">
        <v>15</v>
      </c>
      <c r="P13" s="46">
        <v>16</v>
      </c>
      <c r="Q13" s="45">
        <v>17</v>
      </c>
      <c r="R13" s="46">
        <v>18</v>
      </c>
      <c r="S13" s="45">
        <v>19</v>
      </c>
      <c r="T13" s="51">
        <v>20</v>
      </c>
      <c r="U13" s="45">
        <v>21</v>
      </c>
      <c r="V13" s="51">
        <v>22</v>
      </c>
      <c r="W13" s="45">
        <v>23</v>
      </c>
      <c r="X13" s="51">
        <v>24</v>
      </c>
      <c r="Y13" s="45">
        <v>25</v>
      </c>
      <c r="Z13" s="46">
        <v>26</v>
      </c>
      <c r="AA13" s="52">
        <v>27</v>
      </c>
      <c r="AB13" s="53">
        <v>28</v>
      </c>
    </row>
    <row r="14" spans="1:28" ht="26.25">
      <c r="A14" s="45"/>
      <c r="B14" s="46"/>
      <c r="C14" s="45"/>
      <c r="D14" s="54"/>
      <c r="E14" s="55"/>
      <c r="F14" s="56"/>
      <c r="G14" s="57"/>
      <c r="H14" s="54"/>
      <c r="I14" s="57"/>
      <c r="J14" s="54"/>
      <c r="K14" s="57"/>
      <c r="L14" s="54"/>
      <c r="M14" s="58"/>
      <c r="N14" s="59">
        <f>SUM(O14:Q14)</f>
        <v>56950.81093</v>
      </c>
      <c r="O14" s="59">
        <f>56878720.93/1000+72.09</f>
        <v>56950.81093</v>
      </c>
      <c r="P14" s="59"/>
      <c r="Q14" s="59">
        <v>0</v>
      </c>
      <c r="R14" s="59"/>
      <c r="S14" s="57"/>
      <c r="T14" s="60"/>
      <c r="U14" s="57"/>
      <c r="V14" s="60"/>
      <c r="W14" s="57"/>
      <c r="X14" s="60"/>
      <c r="Y14" s="57"/>
      <c r="Z14" s="54"/>
      <c r="AA14" s="61"/>
      <c r="AB14" s="62"/>
    </row>
    <row r="15" spans="1:28" ht="26.25">
      <c r="A15" s="45"/>
      <c r="B15" s="46"/>
      <c r="C15" s="45"/>
      <c r="D15" s="54"/>
      <c r="E15" s="55"/>
      <c r="F15" s="56"/>
      <c r="G15" s="57"/>
      <c r="H15" s="54"/>
      <c r="I15" s="57"/>
      <c r="J15" s="54"/>
      <c r="K15" s="57"/>
      <c r="L15" s="54"/>
      <c r="M15" s="58"/>
      <c r="N15" s="59">
        <f>SUM(O15:R15)</f>
        <v>109573.24578</v>
      </c>
      <c r="O15" s="59"/>
      <c r="P15" s="59">
        <f>69267664.78/1000+40305581/1000</f>
        <v>109573.24578</v>
      </c>
      <c r="Q15" s="59"/>
      <c r="R15" s="59">
        <v>0</v>
      </c>
      <c r="S15" s="57"/>
      <c r="T15" s="60"/>
      <c r="U15" s="57"/>
      <c r="V15" s="60"/>
      <c r="W15" s="57"/>
      <c r="X15" s="60"/>
      <c r="Y15" s="57"/>
      <c r="Z15" s="54"/>
      <c r="AA15" s="61"/>
      <c r="AB15" s="62"/>
    </row>
    <row r="16" spans="1:28" ht="26.25">
      <c r="A16" s="45"/>
      <c r="B16" s="46"/>
      <c r="C16" s="45"/>
      <c r="D16" s="54"/>
      <c r="E16" s="55"/>
      <c r="F16" s="56"/>
      <c r="G16" s="57"/>
      <c r="H16" s="54"/>
      <c r="I16" s="57"/>
      <c r="J16" s="54"/>
      <c r="K16" s="57"/>
      <c r="L16" s="54"/>
      <c r="M16" s="58"/>
      <c r="N16" s="63"/>
      <c r="O16" s="64">
        <v>1</v>
      </c>
      <c r="P16" s="64">
        <v>1</v>
      </c>
      <c r="Q16" s="65">
        <v>0</v>
      </c>
      <c r="R16" s="65">
        <v>0</v>
      </c>
      <c r="S16" s="57"/>
      <c r="T16" s="60"/>
      <c r="U16" s="57"/>
      <c r="V16" s="60"/>
      <c r="W16" s="57"/>
      <c r="X16" s="60"/>
      <c r="Y16" s="57"/>
      <c r="Z16" s="54"/>
      <c r="AA16" s="61"/>
      <c r="AB16" s="62"/>
    </row>
    <row r="17" spans="1:28" ht="26.25">
      <c r="A17" s="45"/>
      <c r="B17" s="46"/>
      <c r="C17" s="45"/>
      <c r="D17" s="54"/>
      <c r="E17" s="55"/>
      <c r="F17" s="56"/>
      <c r="G17" s="57"/>
      <c r="H17" s="54"/>
      <c r="I17" s="57"/>
      <c r="J17" s="54"/>
      <c r="K17" s="57"/>
      <c r="L17" s="54"/>
      <c r="M17" s="58"/>
      <c r="N17" s="63"/>
      <c r="O17" s="57"/>
      <c r="P17" s="54"/>
      <c r="Q17" s="57"/>
      <c r="R17" s="54"/>
      <c r="S17" s="57">
        <f>O14+Q14</f>
        <v>56950.81093</v>
      </c>
      <c r="T17" s="60"/>
      <c r="U17" s="57"/>
      <c r="V17" s="60"/>
      <c r="W17" s="57"/>
      <c r="X17" s="60"/>
      <c r="Y17" s="57"/>
      <c r="Z17" s="54"/>
      <c r="AA17" s="61"/>
      <c r="AB17" s="62"/>
    </row>
    <row r="18" spans="1:28" ht="26.25">
      <c r="A18" s="45"/>
      <c r="B18" s="46"/>
      <c r="C18" s="45"/>
      <c r="D18" s="54"/>
      <c r="E18" s="55"/>
      <c r="F18" s="56"/>
      <c r="G18" s="57"/>
      <c r="H18" s="54"/>
      <c r="I18" s="57"/>
      <c r="J18" s="54"/>
      <c r="K18" s="57"/>
      <c r="L18" s="54"/>
      <c r="M18" s="58"/>
      <c r="N18" s="63"/>
      <c r="O18" s="57"/>
      <c r="P18" s="54"/>
      <c r="Q18" s="57"/>
      <c r="R18" s="54"/>
      <c r="S18" s="57"/>
      <c r="T18" s="60"/>
      <c r="U18" s="57"/>
      <c r="V18" s="60"/>
      <c r="W18" s="57"/>
      <c r="X18" s="60"/>
      <c r="Y18" s="57"/>
      <c r="Z18" s="54"/>
      <c r="AA18" s="61"/>
      <c r="AB18" s="62"/>
    </row>
    <row r="19" spans="1:64" ht="84" customHeight="1">
      <c r="A19" s="66"/>
      <c r="B19" s="67" t="s">
        <v>31</v>
      </c>
      <c r="C19" s="68"/>
      <c r="D19" s="69"/>
      <c r="E19" s="70"/>
      <c r="F19" s="71"/>
      <c r="G19" s="72"/>
      <c r="H19" s="72"/>
      <c r="I19" s="72"/>
      <c r="J19" s="72"/>
      <c r="K19" s="72"/>
      <c r="L19" s="72"/>
      <c r="M19" s="73"/>
      <c r="N19" s="74"/>
      <c r="O19" s="72"/>
      <c r="P19" s="72"/>
      <c r="Q19" s="72"/>
      <c r="R19" s="72"/>
      <c r="S19" s="72"/>
      <c r="T19" s="75"/>
      <c r="U19" s="76"/>
      <c r="V19" s="77"/>
      <c r="W19" s="76"/>
      <c r="X19" s="75"/>
      <c r="Y19" s="76"/>
      <c r="Z19" s="76"/>
      <c r="AA19" s="78"/>
      <c r="AB19" s="78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</row>
    <row r="20" spans="1:28" ht="48.75" customHeight="1">
      <c r="A20" s="80">
        <v>1</v>
      </c>
      <c r="B20" s="81" t="s">
        <v>32</v>
      </c>
      <c r="C20" s="81" t="s">
        <v>33</v>
      </c>
      <c r="D20" s="82" t="s">
        <v>34</v>
      </c>
      <c r="E20" s="83">
        <f>0.4+9.2+0.1</f>
        <v>9.7</v>
      </c>
      <c r="F20" s="84">
        <f aca="true" t="shared" si="0" ref="F20:F23">G20+H20+I20+J20+L20+M20</f>
        <v>94.366</v>
      </c>
      <c r="G20" s="85">
        <v>0</v>
      </c>
      <c r="H20" s="85">
        <v>80.595</v>
      </c>
      <c r="I20" s="85">
        <v>4.037</v>
      </c>
      <c r="J20" s="85">
        <v>2.378</v>
      </c>
      <c r="K20" s="85">
        <v>0.405</v>
      </c>
      <c r="L20" s="85">
        <v>4.469</v>
      </c>
      <c r="M20" s="86">
        <v>2.887</v>
      </c>
      <c r="N20" s="87">
        <f aca="true" t="shared" si="1" ref="N20:N22">O20+P20+Q20+R20</f>
        <v>647.9838</v>
      </c>
      <c r="O20" s="88">
        <f aca="true" t="shared" si="2" ref="O20:O59">G20*$F$98*$O$16</f>
        <v>0</v>
      </c>
      <c r="P20" s="88">
        <f aca="true" t="shared" si="3" ref="P20:P59">H20*$F$97*$P$16</f>
        <v>647.9838</v>
      </c>
      <c r="Q20" s="88">
        <f aca="true" t="shared" si="4" ref="Q20:Q59">G20*$F$98*$Q$16</f>
        <v>0</v>
      </c>
      <c r="R20" s="88">
        <f aca="true" t="shared" si="5" ref="R20:R59">H20*$F$97*$R$16</f>
        <v>0</v>
      </c>
      <c r="S20" s="88">
        <f aca="true" t="shared" si="6" ref="S20:S59">I20*$F$93</f>
        <v>100.07723</v>
      </c>
      <c r="T20" s="89">
        <v>316.88</v>
      </c>
      <c r="U20" s="88">
        <f aca="true" t="shared" si="7" ref="U20:U21">J20*$F$94</f>
        <v>23.6611</v>
      </c>
      <c r="V20" s="90">
        <f aca="true" t="shared" si="8" ref="V20:V21">X20*2</f>
        <v>62.02</v>
      </c>
      <c r="W20" s="88">
        <f aca="true" t="shared" si="9" ref="W20:W59">K20*$F$93</f>
        <v>10.039950000000001</v>
      </c>
      <c r="X20" s="89">
        <v>31.01</v>
      </c>
      <c r="Y20" s="88">
        <f aca="true" t="shared" si="10" ref="Y20:Y59">L20*$F$93</f>
        <v>110.78651</v>
      </c>
      <c r="Z20" s="88">
        <f aca="true" t="shared" si="11" ref="Z20:Z59">M20*$F$93</f>
        <v>71.56873</v>
      </c>
      <c r="AA20" s="91">
        <f aca="true" t="shared" si="12" ref="AA20:AA56">Z20+Y20+U20+S20+R20+Q20</f>
        <v>306.09357</v>
      </c>
      <c r="AB20" s="91">
        <f aca="true" t="shared" si="13" ref="AB20:AB56">AA20+P20+O20</f>
        <v>954.07737</v>
      </c>
    </row>
    <row r="21" spans="1:28" ht="49.5" customHeight="1">
      <c r="A21" s="80">
        <v>2</v>
      </c>
      <c r="B21" s="81">
        <v>60962</v>
      </c>
      <c r="C21" s="81" t="s">
        <v>35</v>
      </c>
      <c r="D21" s="82" t="s">
        <v>36</v>
      </c>
      <c r="E21" s="83">
        <f>0.2+0.38</f>
        <v>0.5800000000000001</v>
      </c>
      <c r="F21" s="84">
        <f t="shared" si="0"/>
        <v>79.976</v>
      </c>
      <c r="G21" s="85">
        <v>0</v>
      </c>
      <c r="H21" s="85">
        <v>50.024</v>
      </c>
      <c r="I21" s="85">
        <v>7.166</v>
      </c>
      <c r="J21" s="85">
        <f>13.597-J22-J23</f>
        <v>10.174</v>
      </c>
      <c r="K21" s="85">
        <v>0.729</v>
      </c>
      <c r="L21" s="85">
        <v>8.017</v>
      </c>
      <c r="M21" s="86">
        <v>4.595</v>
      </c>
      <c r="N21" s="87">
        <f t="shared" si="1"/>
        <v>402.19295999999997</v>
      </c>
      <c r="O21" s="88">
        <f t="shared" si="2"/>
        <v>0</v>
      </c>
      <c r="P21" s="88">
        <f t="shared" si="3"/>
        <v>402.19295999999997</v>
      </c>
      <c r="Q21" s="88">
        <f t="shared" si="4"/>
        <v>0</v>
      </c>
      <c r="R21" s="88">
        <f t="shared" si="5"/>
        <v>0</v>
      </c>
      <c r="S21" s="88">
        <f t="shared" si="6"/>
        <v>177.64514</v>
      </c>
      <c r="T21" s="89">
        <v>641.24</v>
      </c>
      <c r="U21" s="88">
        <f t="shared" si="7"/>
        <v>101.23129999999999</v>
      </c>
      <c r="V21" s="90">
        <f t="shared" si="8"/>
        <v>95.26</v>
      </c>
      <c r="W21" s="88">
        <f t="shared" si="9"/>
        <v>18.07191</v>
      </c>
      <c r="X21" s="89">
        <v>47.63</v>
      </c>
      <c r="Y21" s="88">
        <f t="shared" si="10"/>
        <v>198.74142999999998</v>
      </c>
      <c r="Z21" s="88">
        <f t="shared" si="11"/>
        <v>113.91004999999998</v>
      </c>
      <c r="AA21" s="91">
        <f t="shared" si="12"/>
        <v>591.52792</v>
      </c>
      <c r="AB21" s="91">
        <f t="shared" si="13"/>
        <v>993.72088</v>
      </c>
    </row>
    <row r="22" spans="1:64" ht="41.25" customHeight="1">
      <c r="A22" s="92"/>
      <c r="B22" s="93" t="s">
        <v>37</v>
      </c>
      <c r="C22" s="93" t="s">
        <v>38</v>
      </c>
      <c r="D22" s="94" t="s">
        <v>39</v>
      </c>
      <c r="E22" s="95">
        <v>150.214</v>
      </c>
      <c r="F22" s="96">
        <f t="shared" si="0"/>
        <v>3.3970000000000002</v>
      </c>
      <c r="G22" s="97"/>
      <c r="H22" s="97"/>
      <c r="I22" s="97"/>
      <c r="J22" s="97">
        <f>3.342+0.055</f>
        <v>3.3970000000000002</v>
      </c>
      <c r="K22" s="97"/>
      <c r="L22" s="97"/>
      <c r="M22" s="98"/>
      <c r="N22" s="99">
        <f t="shared" si="1"/>
        <v>0</v>
      </c>
      <c r="O22" s="100">
        <f t="shared" si="2"/>
        <v>0</v>
      </c>
      <c r="P22" s="100">
        <f t="shared" si="3"/>
        <v>0</v>
      </c>
      <c r="Q22" s="100">
        <f t="shared" si="4"/>
        <v>0</v>
      </c>
      <c r="R22" s="100">
        <f t="shared" si="5"/>
        <v>0</v>
      </c>
      <c r="S22" s="100">
        <f t="shared" si="6"/>
        <v>0</v>
      </c>
      <c r="T22" s="101"/>
      <c r="U22" s="100">
        <f aca="true" t="shared" si="14" ref="U22:U23">J22*$F$96</f>
        <v>42.56441</v>
      </c>
      <c r="V22" s="102"/>
      <c r="W22" s="100">
        <f t="shared" si="9"/>
        <v>0</v>
      </c>
      <c r="X22" s="101"/>
      <c r="Y22" s="100">
        <f t="shared" si="10"/>
        <v>0</v>
      </c>
      <c r="Z22" s="100">
        <f t="shared" si="11"/>
        <v>0</v>
      </c>
      <c r="AA22" s="103">
        <f t="shared" si="12"/>
        <v>42.56441</v>
      </c>
      <c r="AB22" s="103">
        <f t="shared" si="13"/>
        <v>42.56441</v>
      </c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</row>
    <row r="23" spans="1:64" ht="41.25" customHeight="1">
      <c r="A23" s="92"/>
      <c r="B23" s="93" t="s">
        <v>40</v>
      </c>
      <c r="C23" s="93" t="s">
        <v>38</v>
      </c>
      <c r="D23" s="94" t="s">
        <v>39</v>
      </c>
      <c r="E23" s="95">
        <v>1.296</v>
      </c>
      <c r="F23" s="96">
        <f t="shared" si="0"/>
        <v>0.026000000000000002</v>
      </c>
      <c r="G23" s="97"/>
      <c r="H23" s="97"/>
      <c r="I23" s="97"/>
      <c r="J23" s="97">
        <v>0.026000000000000002</v>
      </c>
      <c r="K23" s="97"/>
      <c r="L23" s="97"/>
      <c r="M23" s="98"/>
      <c r="N23" s="99"/>
      <c r="O23" s="100">
        <f t="shared" si="2"/>
        <v>0</v>
      </c>
      <c r="P23" s="100">
        <f t="shared" si="3"/>
        <v>0</v>
      </c>
      <c r="Q23" s="100">
        <f t="shared" si="4"/>
        <v>0</v>
      </c>
      <c r="R23" s="100">
        <f t="shared" si="5"/>
        <v>0</v>
      </c>
      <c r="S23" s="100">
        <f t="shared" si="6"/>
        <v>0</v>
      </c>
      <c r="T23" s="101"/>
      <c r="U23" s="100">
        <f t="shared" si="14"/>
        <v>0.32578</v>
      </c>
      <c r="V23" s="102"/>
      <c r="W23" s="100">
        <f t="shared" si="9"/>
        <v>0</v>
      </c>
      <c r="X23" s="101"/>
      <c r="Y23" s="100">
        <f t="shared" si="10"/>
        <v>0</v>
      </c>
      <c r="Z23" s="100">
        <f t="shared" si="11"/>
        <v>0</v>
      </c>
      <c r="AA23" s="103">
        <f t="shared" si="12"/>
        <v>0.32578</v>
      </c>
      <c r="AB23" s="103">
        <f t="shared" si="13"/>
        <v>0.32578</v>
      </c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</row>
    <row r="24" spans="1:28" ht="78" customHeight="1">
      <c r="A24" s="80"/>
      <c r="B24" s="67" t="s">
        <v>41</v>
      </c>
      <c r="C24" s="81"/>
      <c r="D24" s="82"/>
      <c r="E24" s="83"/>
      <c r="F24" s="84"/>
      <c r="G24" s="85"/>
      <c r="H24" s="85"/>
      <c r="I24" s="85"/>
      <c r="J24" s="85"/>
      <c r="K24" s="85"/>
      <c r="L24" s="85"/>
      <c r="M24" s="86"/>
      <c r="N24" s="87">
        <f aca="true" t="shared" si="15" ref="N24:N26">O24+P24+Q24+R24</f>
        <v>0</v>
      </c>
      <c r="O24" s="88">
        <f t="shared" si="2"/>
        <v>0</v>
      </c>
      <c r="P24" s="88">
        <f t="shared" si="3"/>
        <v>0</v>
      </c>
      <c r="Q24" s="88">
        <f t="shared" si="4"/>
        <v>0</v>
      </c>
      <c r="R24" s="88">
        <f t="shared" si="5"/>
        <v>0</v>
      </c>
      <c r="S24" s="88">
        <f t="shared" si="6"/>
        <v>0</v>
      </c>
      <c r="T24" s="89"/>
      <c r="U24" s="88">
        <f>J24*14.86</f>
        <v>0</v>
      </c>
      <c r="V24" s="75"/>
      <c r="W24" s="88">
        <f t="shared" si="9"/>
        <v>0</v>
      </c>
      <c r="X24" s="89"/>
      <c r="Y24" s="88">
        <f t="shared" si="10"/>
        <v>0</v>
      </c>
      <c r="Z24" s="88">
        <f t="shared" si="11"/>
        <v>0</v>
      </c>
      <c r="AA24" s="91">
        <f t="shared" si="12"/>
        <v>0</v>
      </c>
      <c r="AB24" s="91">
        <f t="shared" si="13"/>
        <v>0</v>
      </c>
    </row>
    <row r="25" spans="1:64" ht="40.5">
      <c r="A25" s="80">
        <v>3</v>
      </c>
      <c r="B25" s="81" t="s">
        <v>42</v>
      </c>
      <c r="C25" s="81" t="s">
        <v>43</v>
      </c>
      <c r="D25" s="82" t="s">
        <v>39</v>
      </c>
      <c r="E25" s="83">
        <f>60.7048+2.3712+15.20584+0.1664</f>
        <v>78.44824</v>
      </c>
      <c r="F25" s="84">
        <f aca="true" t="shared" si="16" ref="F25:F56">G25+H25+I25+J25+L25+M25</f>
        <v>1415.224</v>
      </c>
      <c r="G25" s="85">
        <v>0</v>
      </c>
      <c r="H25" s="85">
        <v>1006.419</v>
      </c>
      <c r="I25" s="85">
        <v>63.486</v>
      </c>
      <c r="J25" s="85">
        <v>204.633</v>
      </c>
      <c r="K25" s="85">
        <v>16.188</v>
      </c>
      <c r="L25" s="85">
        <v>77.518</v>
      </c>
      <c r="M25" s="86">
        <v>63.168</v>
      </c>
      <c r="N25" s="87">
        <f t="shared" si="15"/>
        <v>8091.608759999999</v>
      </c>
      <c r="O25" s="88">
        <f t="shared" si="2"/>
        <v>0</v>
      </c>
      <c r="P25" s="88">
        <f t="shared" si="3"/>
        <v>8091.608759999999</v>
      </c>
      <c r="Q25" s="88">
        <f t="shared" si="4"/>
        <v>0</v>
      </c>
      <c r="R25" s="88">
        <f t="shared" si="5"/>
        <v>0</v>
      </c>
      <c r="S25" s="88">
        <f t="shared" si="6"/>
        <v>1573.81794</v>
      </c>
      <c r="T25" s="89">
        <v>5122.22</v>
      </c>
      <c r="U25" s="88">
        <f aca="true" t="shared" si="17" ref="U25:U26">J25*$F$94</f>
        <v>2036.09835</v>
      </c>
      <c r="V25" s="90">
        <f aca="true" t="shared" si="18" ref="V25:V26">X25*2</f>
        <v>2297.62</v>
      </c>
      <c r="W25" s="88">
        <f t="shared" si="9"/>
        <v>401.30051999999995</v>
      </c>
      <c r="X25" s="89">
        <v>1148.81</v>
      </c>
      <c r="Y25" s="88">
        <f t="shared" si="10"/>
        <v>1921.67122</v>
      </c>
      <c r="Z25" s="88">
        <f t="shared" si="11"/>
        <v>1565.93472</v>
      </c>
      <c r="AA25" s="91">
        <f t="shared" si="12"/>
        <v>7097.52223</v>
      </c>
      <c r="AB25" s="91">
        <f t="shared" si="13"/>
        <v>15189.130989999998</v>
      </c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</row>
    <row r="26" spans="1:28" ht="40.5">
      <c r="A26" s="80">
        <v>4</v>
      </c>
      <c r="B26" s="81" t="s">
        <v>44</v>
      </c>
      <c r="C26" s="81" t="s">
        <v>45</v>
      </c>
      <c r="D26" s="82" t="s">
        <v>46</v>
      </c>
      <c r="E26" s="83">
        <v>28.6</v>
      </c>
      <c r="F26" s="84">
        <f t="shared" si="16"/>
        <v>415.908</v>
      </c>
      <c r="G26" s="85">
        <v>0</v>
      </c>
      <c r="H26" s="85">
        <v>322.609</v>
      </c>
      <c r="I26" s="85">
        <v>19.891</v>
      </c>
      <c r="J26" s="85">
        <f>71.993-J27-J28</f>
        <v>32.92499999999999</v>
      </c>
      <c r="K26" s="85">
        <v>3.462</v>
      </c>
      <c r="L26" s="85">
        <v>25.639</v>
      </c>
      <c r="M26" s="86">
        <v>14.844</v>
      </c>
      <c r="N26" s="87">
        <f t="shared" si="15"/>
        <v>2593.7763599999994</v>
      </c>
      <c r="O26" s="88">
        <f t="shared" si="2"/>
        <v>0</v>
      </c>
      <c r="P26" s="88">
        <f t="shared" si="3"/>
        <v>2593.7763599999994</v>
      </c>
      <c r="Q26" s="88">
        <f t="shared" si="4"/>
        <v>0</v>
      </c>
      <c r="R26" s="88">
        <f t="shared" si="5"/>
        <v>0</v>
      </c>
      <c r="S26" s="88">
        <f t="shared" si="6"/>
        <v>493.09788999999995</v>
      </c>
      <c r="T26" s="89">
        <v>1724.6</v>
      </c>
      <c r="U26" s="88">
        <f t="shared" si="17"/>
        <v>327.6037499999999</v>
      </c>
      <c r="V26" s="90">
        <f t="shared" si="18"/>
        <v>478.32</v>
      </c>
      <c r="W26" s="88">
        <f t="shared" si="9"/>
        <v>85.82298</v>
      </c>
      <c r="X26" s="89">
        <v>239.16</v>
      </c>
      <c r="Y26" s="88">
        <f t="shared" si="10"/>
        <v>635.5908099999999</v>
      </c>
      <c r="Z26" s="88">
        <f t="shared" si="11"/>
        <v>367.98276</v>
      </c>
      <c r="AA26" s="91">
        <f t="shared" si="12"/>
        <v>1824.2752099999998</v>
      </c>
      <c r="AB26" s="91">
        <f t="shared" si="13"/>
        <v>4418.05157</v>
      </c>
    </row>
    <row r="27" spans="1:64" ht="26.25">
      <c r="A27" s="92"/>
      <c r="B27" s="93" t="s">
        <v>37</v>
      </c>
      <c r="C27" s="93" t="s">
        <v>38</v>
      </c>
      <c r="D27" s="94" t="s">
        <v>39</v>
      </c>
      <c r="E27" s="95">
        <f>1621.8+33.66+0.27</f>
        <v>1655.73</v>
      </c>
      <c r="F27" s="96">
        <f t="shared" si="16"/>
        <v>37.258</v>
      </c>
      <c r="G27" s="97"/>
      <c r="H27" s="97"/>
      <c r="I27" s="97"/>
      <c r="J27" s="97">
        <f>36.442+0.756+0.06</f>
        <v>37.258</v>
      </c>
      <c r="K27" s="97"/>
      <c r="L27" s="97"/>
      <c r="M27" s="98"/>
      <c r="N27" s="99"/>
      <c r="O27" s="100">
        <f t="shared" si="2"/>
        <v>0</v>
      </c>
      <c r="P27" s="100">
        <f t="shared" si="3"/>
        <v>0</v>
      </c>
      <c r="Q27" s="100">
        <f t="shared" si="4"/>
        <v>0</v>
      </c>
      <c r="R27" s="100">
        <f t="shared" si="5"/>
        <v>0</v>
      </c>
      <c r="S27" s="100">
        <f t="shared" si="6"/>
        <v>0</v>
      </c>
      <c r="T27" s="101"/>
      <c r="U27" s="100">
        <f aca="true" t="shared" si="19" ref="U27:U28">J27*$F$96</f>
        <v>466.84274</v>
      </c>
      <c r="V27" s="102"/>
      <c r="W27" s="100">
        <f t="shared" si="9"/>
        <v>0</v>
      </c>
      <c r="X27" s="101"/>
      <c r="Y27" s="100">
        <f t="shared" si="10"/>
        <v>0</v>
      </c>
      <c r="Z27" s="100">
        <f t="shared" si="11"/>
        <v>0</v>
      </c>
      <c r="AA27" s="103">
        <f t="shared" si="12"/>
        <v>466.84274</v>
      </c>
      <c r="AB27" s="103">
        <f t="shared" si="13"/>
        <v>466.84274</v>
      </c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</row>
    <row r="28" spans="1:64" ht="26.25">
      <c r="A28" s="92"/>
      <c r="B28" s="93" t="s">
        <v>40</v>
      </c>
      <c r="C28" s="93" t="s">
        <v>38</v>
      </c>
      <c r="D28" s="94" t="s">
        <v>39</v>
      </c>
      <c r="E28" s="95">
        <f>68.64+22.222</f>
        <v>90.862</v>
      </c>
      <c r="F28" s="96">
        <f t="shared" si="16"/>
        <v>1.81</v>
      </c>
      <c r="G28" s="97"/>
      <c r="H28" s="97"/>
      <c r="I28" s="97"/>
      <c r="J28" s="97">
        <f>1.367+0.443</f>
        <v>1.81</v>
      </c>
      <c r="K28" s="97"/>
      <c r="L28" s="97"/>
      <c r="M28" s="98"/>
      <c r="N28" s="99">
        <f aca="true" t="shared" si="20" ref="N28:N30">O28+P28+Q28+R28</f>
        <v>0</v>
      </c>
      <c r="O28" s="100">
        <f t="shared" si="2"/>
        <v>0</v>
      </c>
      <c r="P28" s="100">
        <f t="shared" si="3"/>
        <v>0</v>
      </c>
      <c r="Q28" s="100">
        <f t="shared" si="4"/>
        <v>0</v>
      </c>
      <c r="R28" s="100">
        <f t="shared" si="5"/>
        <v>0</v>
      </c>
      <c r="S28" s="100">
        <f t="shared" si="6"/>
        <v>0</v>
      </c>
      <c r="T28" s="101"/>
      <c r="U28" s="100">
        <f t="shared" si="19"/>
        <v>22.679299999999998</v>
      </c>
      <c r="V28" s="102"/>
      <c r="W28" s="100">
        <f t="shared" si="9"/>
        <v>0</v>
      </c>
      <c r="X28" s="101"/>
      <c r="Y28" s="100">
        <f t="shared" si="10"/>
        <v>0</v>
      </c>
      <c r="Z28" s="100">
        <f t="shared" si="11"/>
        <v>0</v>
      </c>
      <c r="AA28" s="103">
        <f t="shared" si="12"/>
        <v>22.679299999999998</v>
      </c>
      <c r="AB28" s="103">
        <f t="shared" si="13"/>
        <v>22.679299999999998</v>
      </c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</row>
    <row r="29" spans="1:28" ht="40.5">
      <c r="A29" s="80">
        <v>5</v>
      </c>
      <c r="B29" s="81" t="s">
        <v>47</v>
      </c>
      <c r="C29" s="81" t="s">
        <v>48</v>
      </c>
      <c r="D29" s="82" t="s">
        <v>46</v>
      </c>
      <c r="E29" s="83">
        <v>26.58</v>
      </c>
      <c r="F29" s="84">
        <f t="shared" si="16"/>
        <v>1018.7539999999999</v>
      </c>
      <c r="G29" s="85">
        <v>0</v>
      </c>
      <c r="H29" s="85">
        <v>768.286</v>
      </c>
      <c r="I29" s="85">
        <v>67.242</v>
      </c>
      <c r="J29" s="85">
        <f>56.493-J31-J30</f>
        <v>49.721000000000004</v>
      </c>
      <c r="K29" s="85">
        <v>5.506</v>
      </c>
      <c r="L29" s="85">
        <v>85.402</v>
      </c>
      <c r="M29" s="86">
        <v>48.103</v>
      </c>
      <c r="N29" s="87">
        <f t="shared" si="20"/>
        <v>6177.019439999999</v>
      </c>
      <c r="O29" s="88">
        <f t="shared" si="2"/>
        <v>0</v>
      </c>
      <c r="P29" s="88">
        <f t="shared" si="3"/>
        <v>6177.019439999999</v>
      </c>
      <c r="Q29" s="88">
        <f t="shared" si="4"/>
        <v>0</v>
      </c>
      <c r="R29" s="88">
        <f t="shared" si="5"/>
        <v>0</v>
      </c>
      <c r="S29" s="88">
        <f t="shared" si="6"/>
        <v>1666.92918</v>
      </c>
      <c r="T29" s="89">
        <v>5698.82</v>
      </c>
      <c r="U29" s="88">
        <f>J29*$F$94</f>
        <v>494.72395</v>
      </c>
      <c r="V29" s="90">
        <f>X29*2</f>
        <v>749.94</v>
      </c>
      <c r="W29" s="88">
        <f t="shared" si="9"/>
        <v>136.49374</v>
      </c>
      <c r="X29" s="89">
        <v>374.97</v>
      </c>
      <c r="Y29" s="88">
        <f t="shared" si="10"/>
        <v>2117.11558</v>
      </c>
      <c r="Z29" s="88">
        <f t="shared" si="11"/>
        <v>1192.47337</v>
      </c>
      <c r="AA29" s="91">
        <f t="shared" si="12"/>
        <v>5471.24208</v>
      </c>
      <c r="AB29" s="91">
        <f t="shared" si="13"/>
        <v>11648.26152</v>
      </c>
    </row>
    <row r="30" spans="1:64" ht="26.25">
      <c r="A30" s="92"/>
      <c r="B30" s="93" t="s">
        <v>37</v>
      </c>
      <c r="C30" s="93" t="s">
        <v>38</v>
      </c>
      <c r="D30" s="94" t="s">
        <v>39</v>
      </c>
      <c r="E30" s="95">
        <v>1.8924</v>
      </c>
      <c r="F30" s="96">
        <f t="shared" si="16"/>
        <v>0.043000000000000003</v>
      </c>
      <c r="G30" s="97"/>
      <c r="H30" s="97"/>
      <c r="I30" s="97"/>
      <c r="J30" s="97">
        <f>0.043</f>
        <v>0.043000000000000003</v>
      </c>
      <c r="K30" s="97"/>
      <c r="L30" s="97"/>
      <c r="M30" s="98"/>
      <c r="N30" s="99">
        <f t="shared" si="20"/>
        <v>0</v>
      </c>
      <c r="O30" s="100">
        <f t="shared" si="2"/>
        <v>0</v>
      </c>
      <c r="P30" s="100">
        <f t="shared" si="3"/>
        <v>0</v>
      </c>
      <c r="Q30" s="100">
        <f t="shared" si="4"/>
        <v>0</v>
      </c>
      <c r="R30" s="100">
        <f t="shared" si="5"/>
        <v>0</v>
      </c>
      <c r="S30" s="100">
        <f t="shared" si="6"/>
        <v>0</v>
      </c>
      <c r="T30" s="101"/>
      <c r="U30" s="100">
        <f aca="true" t="shared" si="21" ref="U30:U31">J30*$F$96</f>
        <v>0.53879</v>
      </c>
      <c r="V30" s="102"/>
      <c r="W30" s="100">
        <f t="shared" si="9"/>
        <v>0</v>
      </c>
      <c r="X30" s="101"/>
      <c r="Y30" s="100">
        <f t="shared" si="10"/>
        <v>0</v>
      </c>
      <c r="Z30" s="100">
        <f t="shared" si="11"/>
        <v>0</v>
      </c>
      <c r="AA30" s="103">
        <f t="shared" si="12"/>
        <v>0.53879</v>
      </c>
      <c r="AB30" s="103">
        <f t="shared" si="13"/>
        <v>0.53879</v>
      </c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</row>
    <row r="31" spans="1:64" ht="26.25">
      <c r="A31" s="92"/>
      <c r="B31" s="93" t="s">
        <v>40</v>
      </c>
      <c r="C31" s="93" t="s">
        <v>38</v>
      </c>
      <c r="D31" s="94" t="s">
        <v>39</v>
      </c>
      <c r="E31" s="95">
        <v>337.8168</v>
      </c>
      <c r="F31" s="96">
        <f t="shared" si="16"/>
        <v>6.729</v>
      </c>
      <c r="G31" s="97"/>
      <c r="H31" s="97"/>
      <c r="I31" s="97"/>
      <c r="J31" s="97">
        <f>6.729</f>
        <v>6.729</v>
      </c>
      <c r="K31" s="97"/>
      <c r="L31" s="97"/>
      <c r="M31" s="98"/>
      <c r="N31" s="99"/>
      <c r="O31" s="100">
        <f t="shared" si="2"/>
        <v>0</v>
      </c>
      <c r="P31" s="100">
        <f t="shared" si="3"/>
        <v>0</v>
      </c>
      <c r="Q31" s="100">
        <f t="shared" si="4"/>
        <v>0</v>
      </c>
      <c r="R31" s="100">
        <f t="shared" si="5"/>
        <v>0</v>
      </c>
      <c r="S31" s="100">
        <f t="shared" si="6"/>
        <v>0</v>
      </c>
      <c r="T31" s="101"/>
      <c r="U31" s="100">
        <f t="shared" si="21"/>
        <v>84.31437</v>
      </c>
      <c r="V31" s="102"/>
      <c r="W31" s="100">
        <f t="shared" si="9"/>
        <v>0</v>
      </c>
      <c r="X31" s="101"/>
      <c r="Y31" s="100">
        <f t="shared" si="10"/>
        <v>0</v>
      </c>
      <c r="Z31" s="100">
        <f t="shared" si="11"/>
        <v>0</v>
      </c>
      <c r="AA31" s="103">
        <f t="shared" si="12"/>
        <v>84.31437</v>
      </c>
      <c r="AB31" s="103">
        <f t="shared" si="13"/>
        <v>84.31437</v>
      </c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</row>
    <row r="32" spans="1:28" ht="32.25" customHeight="1">
      <c r="A32" s="80">
        <v>6</v>
      </c>
      <c r="B32" s="81" t="s">
        <v>49</v>
      </c>
      <c r="C32" s="81" t="s">
        <v>50</v>
      </c>
      <c r="D32" s="82" t="s">
        <v>34</v>
      </c>
      <c r="E32" s="83">
        <v>1.75</v>
      </c>
      <c r="F32" s="84">
        <f t="shared" si="16"/>
        <v>32.098</v>
      </c>
      <c r="G32" s="85">
        <v>0</v>
      </c>
      <c r="H32" s="85">
        <v>27.181</v>
      </c>
      <c r="I32" s="85">
        <v>1.626</v>
      </c>
      <c r="J32" s="85">
        <v>0.5630000000000001</v>
      </c>
      <c r="K32" s="85">
        <v>0.066</v>
      </c>
      <c r="L32" s="85">
        <v>1.643</v>
      </c>
      <c r="M32" s="86">
        <v>1.085</v>
      </c>
      <c r="N32" s="87">
        <f aca="true" t="shared" si="22" ref="N32:N53">O32+P32+Q32+R32</f>
        <v>218.53524</v>
      </c>
      <c r="O32" s="88">
        <f t="shared" si="2"/>
        <v>0</v>
      </c>
      <c r="P32" s="88">
        <f t="shared" si="3"/>
        <v>218.53524</v>
      </c>
      <c r="Q32" s="88">
        <f t="shared" si="4"/>
        <v>0</v>
      </c>
      <c r="R32" s="88">
        <f t="shared" si="5"/>
        <v>0</v>
      </c>
      <c r="S32" s="88">
        <f t="shared" si="6"/>
        <v>40.308539999999994</v>
      </c>
      <c r="T32" s="89">
        <v>129.41</v>
      </c>
      <c r="U32" s="88">
        <f aca="true" t="shared" si="23" ref="U32:U47">J32*$F$94</f>
        <v>5.60185</v>
      </c>
      <c r="V32" s="90">
        <f aca="true" t="shared" si="24" ref="V32:V53">X32*2</f>
        <v>9.56</v>
      </c>
      <c r="W32" s="88">
        <f t="shared" si="9"/>
        <v>1.63614</v>
      </c>
      <c r="X32" s="89">
        <v>4.78</v>
      </c>
      <c r="Y32" s="88">
        <f t="shared" si="10"/>
        <v>40.72997</v>
      </c>
      <c r="Z32" s="88">
        <f t="shared" si="11"/>
        <v>26.89715</v>
      </c>
      <c r="AA32" s="91">
        <f t="shared" si="12"/>
        <v>113.53751</v>
      </c>
      <c r="AB32" s="91">
        <f t="shared" si="13"/>
        <v>332.07275</v>
      </c>
    </row>
    <row r="33" spans="1:28" ht="50.25" customHeight="1">
      <c r="A33" s="80">
        <v>7</v>
      </c>
      <c r="B33" s="81">
        <v>61014</v>
      </c>
      <c r="C33" s="81" t="s">
        <v>51</v>
      </c>
      <c r="D33" s="82" t="s">
        <v>34</v>
      </c>
      <c r="E33" s="83">
        <f>1.19+0.01+0.5+1.6</f>
        <v>3.3</v>
      </c>
      <c r="F33" s="84">
        <f t="shared" si="16"/>
        <v>6175.601000000001</v>
      </c>
      <c r="G33" s="85">
        <v>5928.875</v>
      </c>
      <c r="H33" s="85">
        <v>72.335</v>
      </c>
      <c r="I33" s="85">
        <v>15.655</v>
      </c>
      <c r="J33" s="85">
        <v>115.761</v>
      </c>
      <c r="K33" s="85">
        <v>10.39</v>
      </c>
      <c r="L33" s="85">
        <v>26.045</v>
      </c>
      <c r="M33" s="86">
        <v>16.93</v>
      </c>
      <c r="N33" s="87">
        <f t="shared" si="22"/>
        <v>30937.4134</v>
      </c>
      <c r="O33" s="88">
        <f t="shared" si="2"/>
        <v>30355.84</v>
      </c>
      <c r="P33" s="88">
        <f t="shared" si="3"/>
        <v>581.5733999999999</v>
      </c>
      <c r="Q33" s="88">
        <f t="shared" si="4"/>
        <v>0</v>
      </c>
      <c r="R33" s="88">
        <f t="shared" si="5"/>
        <v>0</v>
      </c>
      <c r="S33" s="88">
        <f t="shared" si="6"/>
        <v>388.08745</v>
      </c>
      <c r="T33" s="89">
        <v>1228.64</v>
      </c>
      <c r="U33" s="88">
        <f t="shared" si="23"/>
        <v>1151.8219499999998</v>
      </c>
      <c r="V33" s="90">
        <f t="shared" si="24"/>
        <v>1380.46</v>
      </c>
      <c r="W33" s="88">
        <f t="shared" si="9"/>
        <v>257.5681</v>
      </c>
      <c r="X33" s="89">
        <v>690.23</v>
      </c>
      <c r="Y33" s="88">
        <f t="shared" si="10"/>
        <v>645.6555500000001</v>
      </c>
      <c r="Z33" s="88">
        <f t="shared" si="11"/>
        <v>419.69469999999995</v>
      </c>
      <c r="AA33" s="91">
        <f t="shared" si="12"/>
        <v>2605.25965</v>
      </c>
      <c r="AB33" s="91">
        <f t="shared" si="13"/>
        <v>33542.67305</v>
      </c>
    </row>
    <row r="34" spans="1:28" ht="44.25" customHeight="1">
      <c r="A34" s="80">
        <v>8</v>
      </c>
      <c r="B34" s="81" t="s">
        <v>52</v>
      </c>
      <c r="C34" s="81" t="s">
        <v>51</v>
      </c>
      <c r="D34" s="82" t="s">
        <v>53</v>
      </c>
      <c r="E34" s="83">
        <v>23</v>
      </c>
      <c r="F34" s="84">
        <f t="shared" si="16"/>
        <v>4.601</v>
      </c>
      <c r="G34" s="85">
        <v>4.601</v>
      </c>
      <c r="H34" s="85">
        <v>0</v>
      </c>
      <c r="I34" s="85">
        <v>0</v>
      </c>
      <c r="J34" s="85">
        <v>0</v>
      </c>
      <c r="K34" s="85">
        <v>0</v>
      </c>
      <c r="L34" s="85">
        <v>0</v>
      </c>
      <c r="M34" s="86">
        <v>0</v>
      </c>
      <c r="N34" s="87">
        <f t="shared" si="22"/>
        <v>23.55712</v>
      </c>
      <c r="O34" s="88">
        <f t="shared" si="2"/>
        <v>23.55712</v>
      </c>
      <c r="P34" s="88">
        <f t="shared" si="3"/>
        <v>0</v>
      </c>
      <c r="Q34" s="88">
        <f t="shared" si="4"/>
        <v>0</v>
      </c>
      <c r="R34" s="88">
        <f t="shared" si="5"/>
        <v>0</v>
      </c>
      <c r="S34" s="88">
        <f t="shared" si="6"/>
        <v>0</v>
      </c>
      <c r="T34" s="105">
        <v>0</v>
      </c>
      <c r="U34" s="88">
        <f t="shared" si="23"/>
        <v>0</v>
      </c>
      <c r="V34" s="90">
        <f t="shared" si="24"/>
        <v>0</v>
      </c>
      <c r="W34" s="88">
        <f t="shared" si="9"/>
        <v>0</v>
      </c>
      <c r="X34" s="105">
        <v>0</v>
      </c>
      <c r="Y34" s="88">
        <f t="shared" si="10"/>
        <v>0</v>
      </c>
      <c r="Z34" s="88">
        <f t="shared" si="11"/>
        <v>0</v>
      </c>
      <c r="AA34" s="91">
        <f t="shared" si="12"/>
        <v>0</v>
      </c>
      <c r="AB34" s="91">
        <f t="shared" si="13"/>
        <v>23.55712</v>
      </c>
    </row>
    <row r="35" spans="1:28" ht="44.25" customHeight="1">
      <c r="A35" s="80">
        <v>9</v>
      </c>
      <c r="B35" s="81" t="s">
        <v>54</v>
      </c>
      <c r="C35" s="81" t="s">
        <v>55</v>
      </c>
      <c r="D35" s="82" t="s">
        <v>34</v>
      </c>
      <c r="E35" s="83">
        <f>1.57+4.205+0.5+0.05+0.31+0.935+4.305+0.19+0.29+0.32+0.47+0.055</f>
        <v>13.2</v>
      </c>
      <c r="F35" s="84">
        <f t="shared" si="16"/>
        <v>3612.2930000000006</v>
      </c>
      <c r="G35" s="85">
        <v>3079.136</v>
      </c>
      <c r="H35" s="85">
        <v>483.103</v>
      </c>
      <c r="I35" s="85">
        <v>13.896</v>
      </c>
      <c r="J35" s="85">
        <v>11.956</v>
      </c>
      <c r="K35" s="85">
        <v>0.772</v>
      </c>
      <c r="L35" s="85">
        <v>14.668</v>
      </c>
      <c r="M35" s="86">
        <v>9.534</v>
      </c>
      <c r="N35" s="87">
        <f t="shared" si="22"/>
        <v>19649.32444</v>
      </c>
      <c r="O35" s="88">
        <f t="shared" si="2"/>
        <v>15765.17632</v>
      </c>
      <c r="P35" s="88">
        <f t="shared" si="3"/>
        <v>3884.14812</v>
      </c>
      <c r="Q35" s="88">
        <f t="shared" si="4"/>
        <v>0</v>
      </c>
      <c r="R35" s="88">
        <f t="shared" si="5"/>
        <v>0</v>
      </c>
      <c r="S35" s="88">
        <f t="shared" si="6"/>
        <v>344.48184000000003</v>
      </c>
      <c r="T35" s="105">
        <v>1086.02</v>
      </c>
      <c r="U35" s="88">
        <f t="shared" si="23"/>
        <v>118.96219999999998</v>
      </c>
      <c r="V35" s="90">
        <f t="shared" si="24"/>
        <v>91.14</v>
      </c>
      <c r="W35" s="88">
        <f t="shared" si="9"/>
        <v>19.13788</v>
      </c>
      <c r="X35" s="105">
        <v>45.57</v>
      </c>
      <c r="Y35" s="88">
        <f t="shared" si="10"/>
        <v>363.61972</v>
      </c>
      <c r="Z35" s="88">
        <f t="shared" si="11"/>
        <v>236.34786</v>
      </c>
      <c r="AA35" s="91">
        <f t="shared" si="12"/>
        <v>1063.4116199999999</v>
      </c>
      <c r="AB35" s="91">
        <f t="shared" si="13"/>
        <v>20712.73606</v>
      </c>
    </row>
    <row r="36" spans="1:64" ht="30" customHeight="1">
      <c r="A36" s="80">
        <v>10</v>
      </c>
      <c r="B36" s="81">
        <v>60417</v>
      </c>
      <c r="C36" s="81" t="s">
        <v>56</v>
      </c>
      <c r="D36" s="82" t="s">
        <v>34</v>
      </c>
      <c r="E36" s="83">
        <f>0.995+0.4025+4.5325</f>
        <v>5.93</v>
      </c>
      <c r="F36" s="84">
        <f t="shared" si="16"/>
        <v>58.412</v>
      </c>
      <c r="G36" s="85">
        <v>0</v>
      </c>
      <c r="H36" s="85">
        <v>48.309</v>
      </c>
      <c r="I36" s="85">
        <v>3.292</v>
      </c>
      <c r="J36" s="85">
        <v>1.205</v>
      </c>
      <c r="K36" s="85">
        <v>0.075</v>
      </c>
      <c r="L36" s="85">
        <v>3.4050000000000002</v>
      </c>
      <c r="M36" s="86">
        <v>2.201</v>
      </c>
      <c r="N36" s="87">
        <f t="shared" si="22"/>
        <v>388.40435999999994</v>
      </c>
      <c r="O36" s="88">
        <f t="shared" si="2"/>
        <v>0</v>
      </c>
      <c r="P36" s="88">
        <f t="shared" si="3"/>
        <v>388.40435999999994</v>
      </c>
      <c r="Q36" s="88">
        <f t="shared" si="4"/>
        <v>0</v>
      </c>
      <c r="R36" s="88">
        <f t="shared" si="5"/>
        <v>0</v>
      </c>
      <c r="S36" s="88">
        <f t="shared" si="6"/>
        <v>81.60867999999999</v>
      </c>
      <c r="T36" s="89">
        <v>262.46</v>
      </c>
      <c r="U36" s="88">
        <f t="shared" si="23"/>
        <v>11.989749999999999</v>
      </c>
      <c r="V36" s="90">
        <f t="shared" si="24"/>
        <v>11.02</v>
      </c>
      <c r="W36" s="88">
        <f t="shared" si="9"/>
        <v>1.8592499999999998</v>
      </c>
      <c r="X36" s="89">
        <v>5.51</v>
      </c>
      <c r="Y36" s="88">
        <f t="shared" si="10"/>
        <v>84.40995000000001</v>
      </c>
      <c r="Z36" s="88">
        <f t="shared" si="11"/>
        <v>54.56279</v>
      </c>
      <c r="AA36" s="91">
        <f t="shared" si="12"/>
        <v>232.57117</v>
      </c>
      <c r="AB36" s="91">
        <f t="shared" si="13"/>
        <v>620.9755299999999</v>
      </c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</row>
    <row r="37" spans="1:28" ht="33.75" customHeight="1">
      <c r="A37" s="80">
        <v>11</v>
      </c>
      <c r="B37" s="81" t="s">
        <v>57</v>
      </c>
      <c r="C37" s="81" t="s">
        <v>58</v>
      </c>
      <c r="D37" s="82" t="s">
        <v>34</v>
      </c>
      <c r="E37" s="83">
        <f>0.02+0.145+0.035</f>
        <v>0.19999999999999998</v>
      </c>
      <c r="F37" s="84">
        <f t="shared" si="16"/>
        <v>45.370999999999995</v>
      </c>
      <c r="G37" s="85">
        <v>0</v>
      </c>
      <c r="H37" s="85">
        <v>34.797</v>
      </c>
      <c r="I37" s="85">
        <v>3.82</v>
      </c>
      <c r="J37" s="85">
        <v>0.903</v>
      </c>
      <c r="K37" s="85">
        <v>0.039</v>
      </c>
      <c r="L37" s="85">
        <v>3.63</v>
      </c>
      <c r="M37" s="86">
        <v>2.221</v>
      </c>
      <c r="N37" s="87">
        <f t="shared" si="22"/>
        <v>279.76787999999993</v>
      </c>
      <c r="O37" s="88">
        <f t="shared" si="2"/>
        <v>0</v>
      </c>
      <c r="P37" s="88">
        <f t="shared" si="3"/>
        <v>279.76787999999993</v>
      </c>
      <c r="Q37" s="88">
        <f t="shared" si="4"/>
        <v>0</v>
      </c>
      <c r="R37" s="88">
        <f t="shared" si="5"/>
        <v>0</v>
      </c>
      <c r="S37" s="88">
        <f t="shared" si="6"/>
        <v>94.69779999999999</v>
      </c>
      <c r="T37" s="89">
        <v>332.48</v>
      </c>
      <c r="U37" s="88">
        <f t="shared" si="23"/>
        <v>8.98485</v>
      </c>
      <c r="V37" s="90">
        <f t="shared" si="24"/>
        <v>4.62</v>
      </c>
      <c r="W37" s="88">
        <f t="shared" si="9"/>
        <v>0.96681</v>
      </c>
      <c r="X37" s="89">
        <v>2.31</v>
      </c>
      <c r="Y37" s="88">
        <f t="shared" si="10"/>
        <v>89.98769999999999</v>
      </c>
      <c r="Z37" s="88">
        <f t="shared" si="11"/>
        <v>55.05859</v>
      </c>
      <c r="AA37" s="91">
        <f t="shared" si="12"/>
        <v>248.72893999999997</v>
      </c>
      <c r="AB37" s="91">
        <f t="shared" si="13"/>
        <v>528.4968199999998</v>
      </c>
    </row>
    <row r="38" spans="1:28" ht="66" customHeight="1">
      <c r="A38" s="80">
        <v>12</v>
      </c>
      <c r="B38" s="81" t="s">
        <v>59</v>
      </c>
      <c r="C38" s="81" t="s">
        <v>60</v>
      </c>
      <c r="D38" s="82" t="s">
        <v>34</v>
      </c>
      <c r="E38" s="83">
        <v>0.08625000000000001</v>
      </c>
      <c r="F38" s="84">
        <f t="shared" si="16"/>
        <v>3.981</v>
      </c>
      <c r="G38" s="85">
        <v>0</v>
      </c>
      <c r="H38" s="85">
        <v>2.588</v>
      </c>
      <c r="I38" s="85">
        <v>0.229</v>
      </c>
      <c r="J38" s="85">
        <v>0.603</v>
      </c>
      <c r="K38" s="85">
        <v>0.095</v>
      </c>
      <c r="L38" s="85">
        <v>0.338</v>
      </c>
      <c r="M38" s="86">
        <v>0.223</v>
      </c>
      <c r="N38" s="87">
        <f t="shared" si="22"/>
        <v>20.807519999999997</v>
      </c>
      <c r="O38" s="88">
        <f t="shared" si="2"/>
        <v>0</v>
      </c>
      <c r="P38" s="88">
        <f t="shared" si="3"/>
        <v>20.807519999999997</v>
      </c>
      <c r="Q38" s="88">
        <f t="shared" si="4"/>
        <v>0</v>
      </c>
      <c r="R38" s="88">
        <f t="shared" si="5"/>
        <v>0</v>
      </c>
      <c r="S38" s="88">
        <f t="shared" si="6"/>
        <v>5.67691</v>
      </c>
      <c r="T38" s="89">
        <v>18.42</v>
      </c>
      <c r="U38" s="88">
        <f t="shared" si="23"/>
        <v>5.9998499999999995</v>
      </c>
      <c r="V38" s="90">
        <f t="shared" si="24"/>
        <v>13.36</v>
      </c>
      <c r="W38" s="88">
        <f t="shared" si="9"/>
        <v>2.35505</v>
      </c>
      <c r="X38" s="89">
        <v>6.68</v>
      </c>
      <c r="Y38" s="88">
        <f t="shared" si="10"/>
        <v>8.37902</v>
      </c>
      <c r="Z38" s="88">
        <f t="shared" si="11"/>
        <v>5.52817</v>
      </c>
      <c r="AA38" s="91">
        <f t="shared" si="12"/>
        <v>25.583949999999998</v>
      </c>
      <c r="AB38" s="91">
        <f t="shared" si="13"/>
        <v>46.39147</v>
      </c>
    </row>
    <row r="39" spans="1:28" ht="33.75" customHeight="1">
      <c r="A39" s="80">
        <v>13</v>
      </c>
      <c r="B39" s="81">
        <v>61013</v>
      </c>
      <c r="C39" s="81" t="s">
        <v>61</v>
      </c>
      <c r="D39" s="82" t="s">
        <v>62</v>
      </c>
      <c r="E39" s="83">
        <f>149.67+0.3+2.88+0.15</f>
        <v>153</v>
      </c>
      <c r="F39" s="84">
        <f t="shared" si="16"/>
        <v>10314.438</v>
      </c>
      <c r="G39" s="85">
        <v>0</v>
      </c>
      <c r="H39" s="85">
        <v>9893.601</v>
      </c>
      <c r="I39" s="85">
        <v>62.052</v>
      </c>
      <c r="J39" s="85">
        <v>179.118</v>
      </c>
      <c r="K39" s="85">
        <v>46.837</v>
      </c>
      <c r="L39" s="85">
        <v>108.889</v>
      </c>
      <c r="M39" s="86">
        <v>70.778</v>
      </c>
      <c r="N39" s="87">
        <f t="shared" si="22"/>
        <v>79544.55204</v>
      </c>
      <c r="O39" s="88">
        <f t="shared" si="2"/>
        <v>0</v>
      </c>
      <c r="P39" s="88">
        <f t="shared" si="3"/>
        <v>79544.55204</v>
      </c>
      <c r="Q39" s="88">
        <f t="shared" si="4"/>
        <v>0</v>
      </c>
      <c r="R39" s="88">
        <f t="shared" si="5"/>
        <v>0</v>
      </c>
      <c r="S39" s="88">
        <f t="shared" si="6"/>
        <v>1538.26908</v>
      </c>
      <c r="T39" s="89">
        <v>4871.02</v>
      </c>
      <c r="U39" s="88">
        <f t="shared" si="23"/>
        <v>1782.2241</v>
      </c>
      <c r="V39" s="90">
        <f t="shared" si="24"/>
        <v>6820.6</v>
      </c>
      <c r="W39" s="88">
        <f t="shared" si="9"/>
        <v>1161.08923</v>
      </c>
      <c r="X39" s="89">
        <v>3410.3</v>
      </c>
      <c r="Y39" s="88">
        <f t="shared" si="10"/>
        <v>2699.3583099999996</v>
      </c>
      <c r="Z39" s="88">
        <f t="shared" si="11"/>
        <v>1754.58662</v>
      </c>
      <c r="AA39" s="91">
        <f t="shared" si="12"/>
        <v>7774.438109999999</v>
      </c>
      <c r="AB39" s="91">
        <f t="shared" si="13"/>
        <v>87318.99015</v>
      </c>
    </row>
    <row r="40" spans="1:28" ht="33.75" customHeight="1">
      <c r="A40" s="80">
        <v>14</v>
      </c>
      <c r="B40" s="81">
        <v>60418</v>
      </c>
      <c r="C40" s="81" t="s">
        <v>63</v>
      </c>
      <c r="D40" s="82" t="s">
        <v>34</v>
      </c>
      <c r="E40" s="83">
        <v>4.5600000000000005</v>
      </c>
      <c r="F40" s="84">
        <f t="shared" si="16"/>
        <v>160.868</v>
      </c>
      <c r="G40" s="85">
        <v>19.478</v>
      </c>
      <c r="H40" s="85">
        <v>132.171</v>
      </c>
      <c r="I40" s="85">
        <v>1.8090000000000002</v>
      </c>
      <c r="J40" s="85">
        <v>3.798</v>
      </c>
      <c r="K40" s="85">
        <v>0.363</v>
      </c>
      <c r="L40" s="85">
        <v>2.186</v>
      </c>
      <c r="M40" s="86">
        <v>1.426</v>
      </c>
      <c r="N40" s="87">
        <f t="shared" si="22"/>
        <v>1162.3822</v>
      </c>
      <c r="O40" s="88">
        <f t="shared" si="2"/>
        <v>99.72736</v>
      </c>
      <c r="P40" s="88">
        <f t="shared" si="3"/>
        <v>1062.65484</v>
      </c>
      <c r="Q40" s="88">
        <f t="shared" si="4"/>
        <v>0</v>
      </c>
      <c r="R40" s="88">
        <f t="shared" si="5"/>
        <v>0</v>
      </c>
      <c r="S40" s="88">
        <f t="shared" si="6"/>
        <v>44.845110000000005</v>
      </c>
      <c r="T40" s="89">
        <v>145.52</v>
      </c>
      <c r="U40" s="88">
        <f t="shared" si="23"/>
        <v>37.790099999999995</v>
      </c>
      <c r="V40" s="90">
        <f t="shared" si="24"/>
        <v>42.76</v>
      </c>
      <c r="W40" s="88">
        <f t="shared" si="9"/>
        <v>8.998769999999999</v>
      </c>
      <c r="X40" s="89">
        <v>21.38</v>
      </c>
      <c r="Y40" s="88">
        <f t="shared" si="10"/>
        <v>54.19094</v>
      </c>
      <c r="Z40" s="88">
        <f t="shared" si="11"/>
        <v>35.350539999999995</v>
      </c>
      <c r="AA40" s="91">
        <f t="shared" si="12"/>
        <v>172.17669</v>
      </c>
      <c r="AB40" s="91">
        <f t="shared" si="13"/>
        <v>1334.55889</v>
      </c>
    </row>
    <row r="41" spans="1:28" ht="40.5">
      <c r="A41" s="80">
        <v>15</v>
      </c>
      <c r="B41" s="81" t="s">
        <v>64</v>
      </c>
      <c r="C41" s="81" t="s">
        <v>65</v>
      </c>
      <c r="D41" s="82" t="s">
        <v>34</v>
      </c>
      <c r="E41" s="83">
        <f>0.64+0.71+0.4+1.2</f>
        <v>2.95</v>
      </c>
      <c r="F41" s="84">
        <f t="shared" si="16"/>
        <v>78.632</v>
      </c>
      <c r="G41" s="85">
        <v>19.63</v>
      </c>
      <c r="H41" s="85">
        <v>24.961</v>
      </c>
      <c r="I41" s="85">
        <v>11.354</v>
      </c>
      <c r="J41" s="85">
        <v>3.8</v>
      </c>
      <c r="K41" s="85">
        <v>0.333</v>
      </c>
      <c r="L41" s="85">
        <v>11.445</v>
      </c>
      <c r="M41" s="86">
        <v>7.442</v>
      </c>
      <c r="N41" s="87">
        <f t="shared" si="22"/>
        <v>301.19203999999996</v>
      </c>
      <c r="O41" s="88">
        <f t="shared" si="2"/>
        <v>100.5056</v>
      </c>
      <c r="P41" s="88">
        <f t="shared" si="3"/>
        <v>200.68643999999998</v>
      </c>
      <c r="Q41" s="88">
        <f t="shared" si="4"/>
        <v>0</v>
      </c>
      <c r="R41" s="88">
        <f t="shared" si="5"/>
        <v>0</v>
      </c>
      <c r="S41" s="88">
        <f t="shared" si="6"/>
        <v>281.46565999999996</v>
      </c>
      <c r="T41" s="89">
        <v>871.58</v>
      </c>
      <c r="U41" s="88">
        <f t="shared" si="23"/>
        <v>37.809999999999995</v>
      </c>
      <c r="V41" s="90">
        <f t="shared" si="24"/>
        <v>39.44</v>
      </c>
      <c r="W41" s="88">
        <f t="shared" si="9"/>
        <v>8.25507</v>
      </c>
      <c r="X41" s="89">
        <v>19.72</v>
      </c>
      <c r="Y41" s="88">
        <f t="shared" si="10"/>
        <v>283.72155</v>
      </c>
      <c r="Z41" s="88">
        <f t="shared" si="11"/>
        <v>184.48718</v>
      </c>
      <c r="AA41" s="91">
        <f t="shared" si="12"/>
        <v>787.4843899999998</v>
      </c>
      <c r="AB41" s="91">
        <f t="shared" si="13"/>
        <v>1088.6764299999998</v>
      </c>
    </row>
    <row r="42" spans="1:28" ht="40.5">
      <c r="A42" s="80">
        <v>16</v>
      </c>
      <c r="B42" s="81" t="s">
        <v>66</v>
      </c>
      <c r="C42" s="81" t="s">
        <v>67</v>
      </c>
      <c r="D42" s="82" t="s">
        <v>34</v>
      </c>
      <c r="E42" s="83">
        <f>0.7+6.6</f>
        <v>7.3</v>
      </c>
      <c r="F42" s="84">
        <f t="shared" si="16"/>
        <v>90.038</v>
      </c>
      <c r="G42" s="85">
        <v>17.38</v>
      </c>
      <c r="H42" s="85">
        <v>34.264</v>
      </c>
      <c r="I42" s="85">
        <v>14.396</v>
      </c>
      <c r="J42" s="85">
        <v>0.9540000000000001</v>
      </c>
      <c r="K42" s="85">
        <v>0.053</v>
      </c>
      <c r="L42" s="85">
        <v>13.919</v>
      </c>
      <c r="M42" s="86">
        <v>9.125</v>
      </c>
      <c r="N42" s="87">
        <f t="shared" si="22"/>
        <v>364.46815999999995</v>
      </c>
      <c r="O42" s="88">
        <f t="shared" si="2"/>
        <v>88.98559999999999</v>
      </c>
      <c r="P42" s="88">
        <f t="shared" si="3"/>
        <v>275.48256</v>
      </c>
      <c r="Q42" s="88">
        <f t="shared" si="4"/>
        <v>0</v>
      </c>
      <c r="R42" s="88">
        <f t="shared" si="5"/>
        <v>0</v>
      </c>
      <c r="S42" s="88">
        <f t="shared" si="6"/>
        <v>356.87684</v>
      </c>
      <c r="T42" s="105">
        <v>0</v>
      </c>
      <c r="U42" s="88">
        <f t="shared" si="23"/>
        <v>9.4923</v>
      </c>
      <c r="V42" s="90">
        <f t="shared" si="24"/>
        <v>0</v>
      </c>
      <c r="W42" s="88">
        <f t="shared" si="9"/>
        <v>1.3138699999999999</v>
      </c>
      <c r="X42" s="105">
        <v>0</v>
      </c>
      <c r="Y42" s="88">
        <f t="shared" si="10"/>
        <v>345.05201</v>
      </c>
      <c r="Z42" s="88">
        <f t="shared" si="11"/>
        <v>226.20874999999998</v>
      </c>
      <c r="AA42" s="91">
        <f t="shared" si="12"/>
        <v>937.6299</v>
      </c>
      <c r="AB42" s="91">
        <f t="shared" si="13"/>
        <v>1302.09806</v>
      </c>
    </row>
    <row r="43" spans="1:64" ht="26.25">
      <c r="A43" s="80">
        <v>17</v>
      </c>
      <c r="B43" s="81" t="s">
        <v>68</v>
      </c>
      <c r="C43" s="81" t="s">
        <v>69</v>
      </c>
      <c r="D43" s="82" t="s">
        <v>34</v>
      </c>
      <c r="E43" s="83">
        <f>0.1+0.7</f>
        <v>0.8</v>
      </c>
      <c r="F43" s="84">
        <f t="shared" si="16"/>
        <v>24.782</v>
      </c>
      <c r="G43" s="85">
        <v>23.151</v>
      </c>
      <c r="H43" s="85">
        <v>0.852</v>
      </c>
      <c r="I43" s="85">
        <v>0.248</v>
      </c>
      <c r="J43" s="85">
        <v>0.113</v>
      </c>
      <c r="K43" s="85">
        <v>0.008</v>
      </c>
      <c r="L43" s="85">
        <v>0.253</v>
      </c>
      <c r="M43" s="86">
        <v>0.165</v>
      </c>
      <c r="N43" s="87">
        <f t="shared" si="22"/>
        <v>125.3832</v>
      </c>
      <c r="O43" s="88">
        <f t="shared" si="2"/>
        <v>118.53312</v>
      </c>
      <c r="P43" s="88">
        <f t="shared" si="3"/>
        <v>6.850079999999999</v>
      </c>
      <c r="Q43" s="88">
        <f t="shared" si="4"/>
        <v>0</v>
      </c>
      <c r="R43" s="88">
        <f t="shared" si="5"/>
        <v>0</v>
      </c>
      <c r="S43" s="88">
        <f t="shared" si="6"/>
        <v>6.14792</v>
      </c>
      <c r="T43" s="89">
        <v>19.65</v>
      </c>
      <c r="U43" s="88">
        <f t="shared" si="23"/>
        <v>1.12435</v>
      </c>
      <c r="V43" s="90">
        <f t="shared" si="24"/>
        <v>1.1</v>
      </c>
      <c r="W43" s="88">
        <f t="shared" si="9"/>
        <v>0.19832</v>
      </c>
      <c r="X43" s="89">
        <v>0.55</v>
      </c>
      <c r="Y43" s="88">
        <f t="shared" si="10"/>
        <v>6.27187</v>
      </c>
      <c r="Z43" s="88">
        <f t="shared" si="11"/>
        <v>4.09035</v>
      </c>
      <c r="AA43" s="91">
        <f t="shared" si="12"/>
        <v>17.63449</v>
      </c>
      <c r="AB43" s="91">
        <f t="shared" si="13"/>
        <v>143.01769</v>
      </c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</row>
    <row r="44" spans="1:28" ht="40.5">
      <c r="A44" s="80">
        <v>18</v>
      </c>
      <c r="B44" s="81" t="s">
        <v>70</v>
      </c>
      <c r="C44" s="81" t="s">
        <v>71</v>
      </c>
      <c r="D44" s="82" t="s">
        <v>34</v>
      </c>
      <c r="E44" s="83">
        <f>0.25+2.4+0.29+0.29</f>
        <v>3.23</v>
      </c>
      <c r="F44" s="84">
        <f t="shared" si="16"/>
        <v>9.693999999999999</v>
      </c>
      <c r="G44" s="85">
        <v>2.241</v>
      </c>
      <c r="H44" s="85">
        <v>1.252</v>
      </c>
      <c r="I44" s="85">
        <v>2.199</v>
      </c>
      <c r="J44" s="85">
        <v>0.41200000000000003</v>
      </c>
      <c r="K44" s="85">
        <v>0.03</v>
      </c>
      <c r="L44" s="85">
        <v>2.172</v>
      </c>
      <c r="M44" s="86">
        <v>1.418</v>
      </c>
      <c r="N44" s="87">
        <f t="shared" si="22"/>
        <v>21.54</v>
      </c>
      <c r="O44" s="88">
        <f t="shared" si="2"/>
        <v>11.473920000000001</v>
      </c>
      <c r="P44" s="88">
        <f t="shared" si="3"/>
        <v>10.06608</v>
      </c>
      <c r="Q44" s="88">
        <f t="shared" si="4"/>
        <v>0</v>
      </c>
      <c r="R44" s="88">
        <f t="shared" si="5"/>
        <v>0</v>
      </c>
      <c r="S44" s="88">
        <f t="shared" si="6"/>
        <v>54.513209999999994</v>
      </c>
      <c r="T44" s="89">
        <v>175.77</v>
      </c>
      <c r="U44" s="88">
        <f t="shared" si="23"/>
        <v>4.0994</v>
      </c>
      <c r="V44" s="90">
        <f t="shared" si="24"/>
        <v>4.12</v>
      </c>
      <c r="W44" s="88">
        <f t="shared" si="9"/>
        <v>0.7436999999999999</v>
      </c>
      <c r="X44" s="89">
        <v>2.06</v>
      </c>
      <c r="Y44" s="88">
        <f t="shared" si="10"/>
        <v>53.84388</v>
      </c>
      <c r="Z44" s="88">
        <f t="shared" si="11"/>
        <v>35.15222</v>
      </c>
      <c r="AA44" s="91">
        <f t="shared" si="12"/>
        <v>147.60871</v>
      </c>
      <c r="AB44" s="91">
        <f t="shared" si="13"/>
        <v>169.14871</v>
      </c>
    </row>
    <row r="45" spans="1:28" ht="40.5">
      <c r="A45" s="80">
        <v>19</v>
      </c>
      <c r="B45" s="81" t="s">
        <v>72</v>
      </c>
      <c r="C45" s="81" t="s">
        <v>73</v>
      </c>
      <c r="D45" s="82" t="s">
        <v>53</v>
      </c>
      <c r="E45" s="83">
        <f>9+1+10+3</f>
        <v>23</v>
      </c>
      <c r="F45" s="84">
        <f t="shared" si="16"/>
        <v>287.59999999999997</v>
      </c>
      <c r="G45" s="85">
        <v>243.665</v>
      </c>
      <c r="H45" s="85">
        <v>13.651</v>
      </c>
      <c r="I45" s="85">
        <v>11.738</v>
      </c>
      <c r="J45" s="85">
        <v>0.727</v>
      </c>
      <c r="K45" s="85">
        <v>0.053</v>
      </c>
      <c r="L45" s="85">
        <v>10.559</v>
      </c>
      <c r="M45" s="86">
        <v>7.26</v>
      </c>
      <c r="N45" s="87">
        <f t="shared" si="22"/>
        <v>1357.31884</v>
      </c>
      <c r="O45" s="88">
        <f t="shared" si="2"/>
        <v>1247.5647999999999</v>
      </c>
      <c r="P45" s="88">
        <f t="shared" si="3"/>
        <v>109.75403999999999</v>
      </c>
      <c r="Q45" s="88">
        <f t="shared" si="4"/>
        <v>0</v>
      </c>
      <c r="R45" s="88">
        <f t="shared" si="5"/>
        <v>0</v>
      </c>
      <c r="S45" s="88">
        <f t="shared" si="6"/>
        <v>290.98501999999996</v>
      </c>
      <c r="T45" s="89">
        <v>734.11</v>
      </c>
      <c r="U45" s="88">
        <f t="shared" si="23"/>
        <v>7.233649999999999</v>
      </c>
      <c r="V45" s="90">
        <f t="shared" si="24"/>
        <v>8.02</v>
      </c>
      <c r="W45" s="88">
        <f t="shared" si="9"/>
        <v>1.3138699999999999</v>
      </c>
      <c r="X45" s="89">
        <v>4.01</v>
      </c>
      <c r="Y45" s="88">
        <f t="shared" si="10"/>
        <v>261.75761</v>
      </c>
      <c r="Z45" s="88">
        <f t="shared" si="11"/>
        <v>179.97539999999998</v>
      </c>
      <c r="AA45" s="91">
        <f t="shared" si="12"/>
        <v>739.9516799999999</v>
      </c>
      <c r="AB45" s="91">
        <f t="shared" si="13"/>
        <v>2097.27052</v>
      </c>
    </row>
    <row r="46" spans="1:28" ht="26.25">
      <c r="A46" s="80">
        <v>20</v>
      </c>
      <c r="B46" s="81" t="s">
        <v>74</v>
      </c>
      <c r="C46" s="81" t="s">
        <v>75</v>
      </c>
      <c r="D46" s="82" t="s">
        <v>76</v>
      </c>
      <c r="E46" s="83">
        <v>6</v>
      </c>
      <c r="F46" s="84">
        <f t="shared" si="16"/>
        <v>1079.9370000000001</v>
      </c>
      <c r="G46" s="85">
        <v>885.941</v>
      </c>
      <c r="H46" s="85">
        <v>118.318</v>
      </c>
      <c r="I46" s="85">
        <v>19.949</v>
      </c>
      <c r="J46" s="85">
        <v>14.185</v>
      </c>
      <c r="K46" s="85">
        <v>1.018</v>
      </c>
      <c r="L46" s="85">
        <v>25.342</v>
      </c>
      <c r="M46" s="86">
        <v>16.202</v>
      </c>
      <c r="N46" s="87">
        <f t="shared" si="22"/>
        <v>5487.29464</v>
      </c>
      <c r="O46" s="88">
        <f t="shared" si="2"/>
        <v>4536.01792</v>
      </c>
      <c r="P46" s="88">
        <f t="shared" si="3"/>
        <v>951.2767199999998</v>
      </c>
      <c r="Q46" s="88">
        <f t="shared" si="4"/>
        <v>0</v>
      </c>
      <c r="R46" s="88">
        <f t="shared" si="5"/>
        <v>0</v>
      </c>
      <c r="S46" s="88">
        <f t="shared" si="6"/>
        <v>494.53571000000005</v>
      </c>
      <c r="T46" s="89">
        <v>1596.44</v>
      </c>
      <c r="U46" s="88">
        <f t="shared" si="23"/>
        <v>141.14075</v>
      </c>
      <c r="V46" s="90">
        <f t="shared" si="24"/>
        <v>127.22</v>
      </c>
      <c r="W46" s="88">
        <f t="shared" si="9"/>
        <v>25.23622</v>
      </c>
      <c r="X46" s="89">
        <v>63.61</v>
      </c>
      <c r="Y46" s="88">
        <f t="shared" si="10"/>
        <v>628.22818</v>
      </c>
      <c r="Z46" s="88">
        <f t="shared" si="11"/>
        <v>401.64758</v>
      </c>
      <c r="AA46" s="91">
        <f t="shared" si="12"/>
        <v>1665.55222</v>
      </c>
      <c r="AB46" s="91">
        <f t="shared" si="13"/>
        <v>7152.84686</v>
      </c>
    </row>
    <row r="47" spans="1:28" ht="43.5" customHeight="1">
      <c r="A47" s="80">
        <v>21</v>
      </c>
      <c r="B47" s="81">
        <v>60966</v>
      </c>
      <c r="C47" s="81" t="s">
        <v>77</v>
      </c>
      <c r="D47" s="82" t="s">
        <v>78</v>
      </c>
      <c r="E47" s="83">
        <f>0.0144+0.0892+0.1932</f>
        <v>0.2968</v>
      </c>
      <c r="F47" s="84">
        <f t="shared" si="16"/>
        <v>0.7850000000000001</v>
      </c>
      <c r="G47" s="85">
        <v>0</v>
      </c>
      <c r="H47" s="85">
        <v>0</v>
      </c>
      <c r="I47" s="85">
        <v>0.23700000000000002</v>
      </c>
      <c r="J47" s="85">
        <f>0.052-J48</f>
        <v>0.034</v>
      </c>
      <c r="K47" s="85">
        <v>0</v>
      </c>
      <c r="L47" s="85">
        <v>0.317</v>
      </c>
      <c r="M47" s="86">
        <v>0.197</v>
      </c>
      <c r="N47" s="87">
        <f t="shared" si="22"/>
        <v>0</v>
      </c>
      <c r="O47" s="88">
        <f t="shared" si="2"/>
        <v>0</v>
      </c>
      <c r="P47" s="88">
        <f t="shared" si="3"/>
        <v>0</v>
      </c>
      <c r="Q47" s="88">
        <f t="shared" si="4"/>
        <v>0</v>
      </c>
      <c r="R47" s="88">
        <f t="shared" si="5"/>
        <v>0</v>
      </c>
      <c r="S47" s="88">
        <f t="shared" si="6"/>
        <v>5.87523</v>
      </c>
      <c r="T47" s="89">
        <v>20.41</v>
      </c>
      <c r="U47" s="88">
        <f t="shared" si="23"/>
        <v>0.3383</v>
      </c>
      <c r="V47" s="90">
        <f t="shared" si="24"/>
        <v>0.06</v>
      </c>
      <c r="W47" s="88">
        <f t="shared" si="9"/>
        <v>0</v>
      </c>
      <c r="X47" s="89">
        <v>0.03</v>
      </c>
      <c r="Y47" s="88">
        <f t="shared" si="10"/>
        <v>7.85843</v>
      </c>
      <c r="Z47" s="88">
        <f t="shared" si="11"/>
        <v>4.88363</v>
      </c>
      <c r="AA47" s="91">
        <f t="shared" si="12"/>
        <v>18.95559</v>
      </c>
      <c r="AB47" s="91">
        <f t="shared" si="13"/>
        <v>18.95559</v>
      </c>
    </row>
    <row r="48" spans="1:64" ht="26.25">
      <c r="A48" s="92"/>
      <c r="B48" s="93" t="s">
        <v>37</v>
      </c>
      <c r="C48" s="93" t="s">
        <v>38</v>
      </c>
      <c r="D48" s="94" t="s">
        <v>39</v>
      </c>
      <c r="E48" s="95">
        <v>0.29382</v>
      </c>
      <c r="F48" s="96">
        <f t="shared" si="16"/>
        <v>0.018000000000000002</v>
      </c>
      <c r="G48" s="97"/>
      <c r="H48" s="97"/>
      <c r="I48" s="97"/>
      <c r="J48" s="97">
        <v>0.018000000000000002</v>
      </c>
      <c r="K48" s="97"/>
      <c r="L48" s="97"/>
      <c r="M48" s="98"/>
      <c r="N48" s="99">
        <f t="shared" si="22"/>
        <v>0</v>
      </c>
      <c r="O48" s="100">
        <f t="shared" si="2"/>
        <v>0</v>
      </c>
      <c r="P48" s="100">
        <f t="shared" si="3"/>
        <v>0</v>
      </c>
      <c r="Q48" s="100">
        <f t="shared" si="4"/>
        <v>0</v>
      </c>
      <c r="R48" s="100">
        <f t="shared" si="5"/>
        <v>0</v>
      </c>
      <c r="S48" s="100">
        <f t="shared" si="6"/>
        <v>0</v>
      </c>
      <c r="T48" s="101"/>
      <c r="U48" s="100">
        <f>J48*$F$96</f>
        <v>0.22554000000000002</v>
      </c>
      <c r="V48" s="106">
        <f t="shared" si="24"/>
        <v>0</v>
      </c>
      <c r="W48" s="100">
        <f t="shared" si="9"/>
        <v>0</v>
      </c>
      <c r="X48" s="101"/>
      <c r="Y48" s="100">
        <f t="shared" si="10"/>
        <v>0</v>
      </c>
      <c r="Z48" s="100">
        <f t="shared" si="11"/>
        <v>0</v>
      </c>
      <c r="AA48" s="103">
        <f t="shared" si="12"/>
        <v>0.22554000000000002</v>
      </c>
      <c r="AB48" s="103">
        <f t="shared" si="13"/>
        <v>0.22554000000000002</v>
      </c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</row>
    <row r="49" spans="1:28" ht="31.5" customHeight="1">
      <c r="A49" s="80">
        <v>22</v>
      </c>
      <c r="B49" s="81" t="s">
        <v>79</v>
      </c>
      <c r="C49" s="81" t="s">
        <v>80</v>
      </c>
      <c r="D49" s="82" t="s">
        <v>34</v>
      </c>
      <c r="E49" s="83">
        <f>0.01+0.52</f>
        <v>0.53</v>
      </c>
      <c r="F49" s="84">
        <f t="shared" si="16"/>
        <v>20.563000000000002</v>
      </c>
      <c r="G49" s="85">
        <v>12.368</v>
      </c>
      <c r="H49" s="85">
        <v>5.686</v>
      </c>
      <c r="I49" s="85">
        <v>0.734</v>
      </c>
      <c r="J49" s="85">
        <v>0.302</v>
      </c>
      <c r="K49" s="85">
        <v>0.017</v>
      </c>
      <c r="L49" s="85">
        <v>0.897</v>
      </c>
      <c r="M49" s="86">
        <v>0.5760000000000001</v>
      </c>
      <c r="N49" s="87">
        <f t="shared" si="22"/>
        <v>109.03960000000001</v>
      </c>
      <c r="O49" s="88">
        <f t="shared" si="2"/>
        <v>63.324160000000006</v>
      </c>
      <c r="P49" s="88">
        <f t="shared" si="3"/>
        <v>45.715439999999994</v>
      </c>
      <c r="Q49" s="88">
        <f t="shared" si="4"/>
        <v>0</v>
      </c>
      <c r="R49" s="88">
        <f t="shared" si="5"/>
        <v>0</v>
      </c>
      <c r="S49" s="88">
        <f t="shared" si="6"/>
        <v>18.19586</v>
      </c>
      <c r="T49" s="89">
        <v>56.27</v>
      </c>
      <c r="U49" s="88">
        <f aca="true" t="shared" si="25" ref="U49:U53">J49*$F$94</f>
        <v>3.0048999999999997</v>
      </c>
      <c r="V49" s="90">
        <f t="shared" si="24"/>
        <v>2.52</v>
      </c>
      <c r="W49" s="88">
        <f t="shared" si="9"/>
        <v>0.42143</v>
      </c>
      <c r="X49" s="89">
        <v>1.26</v>
      </c>
      <c r="Y49" s="88">
        <f t="shared" si="10"/>
        <v>22.236629999999998</v>
      </c>
      <c r="Z49" s="88">
        <f t="shared" si="11"/>
        <v>14.279040000000002</v>
      </c>
      <c r="AA49" s="91">
        <f t="shared" si="12"/>
        <v>57.71643</v>
      </c>
      <c r="AB49" s="91">
        <f t="shared" si="13"/>
        <v>166.75603</v>
      </c>
    </row>
    <row r="50" spans="1:64" ht="46.5" customHeight="1">
      <c r="A50" s="80">
        <v>23</v>
      </c>
      <c r="B50" s="81">
        <v>61076</v>
      </c>
      <c r="C50" s="81" t="s">
        <v>81</v>
      </c>
      <c r="D50" s="82" t="s">
        <v>46</v>
      </c>
      <c r="E50" s="83">
        <v>1.04</v>
      </c>
      <c r="F50" s="84">
        <f t="shared" si="16"/>
        <v>9.299</v>
      </c>
      <c r="G50" s="85">
        <v>0</v>
      </c>
      <c r="H50" s="85">
        <v>6.168</v>
      </c>
      <c r="I50" s="85">
        <v>0.967</v>
      </c>
      <c r="J50" s="85">
        <v>0.47200000000000003</v>
      </c>
      <c r="K50" s="85">
        <v>0</v>
      </c>
      <c r="L50" s="85">
        <v>1.015</v>
      </c>
      <c r="M50" s="86">
        <v>0.677</v>
      </c>
      <c r="N50" s="87">
        <f t="shared" si="22"/>
        <v>49.59072</v>
      </c>
      <c r="O50" s="88">
        <f t="shared" si="2"/>
        <v>0</v>
      </c>
      <c r="P50" s="88">
        <f t="shared" si="3"/>
        <v>49.59072</v>
      </c>
      <c r="Q50" s="88">
        <f t="shared" si="4"/>
        <v>0</v>
      </c>
      <c r="R50" s="88">
        <f t="shared" si="5"/>
        <v>0</v>
      </c>
      <c r="S50" s="88">
        <f t="shared" si="6"/>
        <v>23.971929999999997</v>
      </c>
      <c r="T50" s="89">
        <v>74.91</v>
      </c>
      <c r="U50" s="88">
        <f t="shared" si="25"/>
        <v>4.6964</v>
      </c>
      <c r="V50" s="90">
        <f t="shared" si="24"/>
        <v>0</v>
      </c>
      <c r="W50" s="88">
        <f t="shared" si="9"/>
        <v>0</v>
      </c>
      <c r="X50" s="89">
        <v>0</v>
      </c>
      <c r="Y50" s="88">
        <f t="shared" si="10"/>
        <v>25.161849999999998</v>
      </c>
      <c r="Z50" s="88">
        <f t="shared" si="11"/>
        <v>16.78283</v>
      </c>
      <c r="AA50" s="91">
        <f t="shared" si="12"/>
        <v>70.61300999999999</v>
      </c>
      <c r="AB50" s="91">
        <f t="shared" si="13"/>
        <v>120.20372999999998</v>
      </c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</row>
    <row r="51" spans="1:28" ht="26.25">
      <c r="A51" s="80">
        <v>24</v>
      </c>
      <c r="B51" s="81">
        <v>60839</v>
      </c>
      <c r="C51" s="81" t="s">
        <v>82</v>
      </c>
      <c r="D51" s="82" t="s">
        <v>83</v>
      </c>
      <c r="E51" s="83">
        <v>111.25</v>
      </c>
      <c r="F51" s="84">
        <f t="shared" si="16"/>
        <v>906.78</v>
      </c>
      <c r="G51" s="85">
        <v>0</v>
      </c>
      <c r="H51" s="85">
        <v>271.436</v>
      </c>
      <c r="I51" s="85">
        <v>30.657</v>
      </c>
      <c r="J51" s="85">
        <v>433.812</v>
      </c>
      <c r="K51" s="85">
        <v>39.374</v>
      </c>
      <c r="L51" s="85">
        <v>104.346</v>
      </c>
      <c r="M51" s="86">
        <v>66.529</v>
      </c>
      <c r="N51" s="87">
        <f t="shared" si="22"/>
        <v>2182.3454399999996</v>
      </c>
      <c r="O51" s="88">
        <f t="shared" si="2"/>
        <v>0</v>
      </c>
      <c r="P51" s="88">
        <f t="shared" si="3"/>
        <v>2182.3454399999996</v>
      </c>
      <c r="Q51" s="88">
        <f t="shared" si="4"/>
        <v>0</v>
      </c>
      <c r="R51" s="88">
        <f t="shared" si="5"/>
        <v>0</v>
      </c>
      <c r="S51" s="88">
        <f t="shared" si="6"/>
        <v>759.98703</v>
      </c>
      <c r="T51" s="89">
        <v>2872.16</v>
      </c>
      <c r="U51" s="88">
        <f t="shared" si="25"/>
        <v>4316.4294</v>
      </c>
      <c r="V51" s="90">
        <f t="shared" si="24"/>
        <v>4855.56</v>
      </c>
      <c r="W51" s="88">
        <f t="shared" si="9"/>
        <v>976.08146</v>
      </c>
      <c r="X51" s="89">
        <v>2427.78</v>
      </c>
      <c r="Y51" s="88">
        <f t="shared" si="10"/>
        <v>2586.73734</v>
      </c>
      <c r="Z51" s="88">
        <f t="shared" si="11"/>
        <v>1649.25391</v>
      </c>
      <c r="AA51" s="91">
        <f t="shared" si="12"/>
        <v>9312.40768</v>
      </c>
      <c r="AB51" s="91">
        <f t="shared" si="13"/>
        <v>11494.75312</v>
      </c>
    </row>
    <row r="52" spans="1:28" ht="26.25">
      <c r="A52" s="80">
        <v>25</v>
      </c>
      <c r="B52" s="81">
        <v>60840</v>
      </c>
      <c r="C52" s="81" t="s">
        <v>84</v>
      </c>
      <c r="D52" s="82" t="s">
        <v>85</v>
      </c>
      <c r="E52" s="83">
        <v>0.04</v>
      </c>
      <c r="F52" s="84">
        <f t="shared" si="16"/>
        <v>13.104</v>
      </c>
      <c r="G52" s="85">
        <v>0</v>
      </c>
      <c r="H52" s="85">
        <v>9.927</v>
      </c>
      <c r="I52" s="85">
        <v>0.682</v>
      </c>
      <c r="J52" s="85">
        <v>0.664</v>
      </c>
      <c r="K52" s="85">
        <v>0.068</v>
      </c>
      <c r="L52" s="85">
        <v>1.118</v>
      </c>
      <c r="M52" s="86">
        <v>0.713</v>
      </c>
      <c r="N52" s="87">
        <f t="shared" si="22"/>
        <v>79.81307999999999</v>
      </c>
      <c r="O52" s="88">
        <f t="shared" si="2"/>
        <v>0</v>
      </c>
      <c r="P52" s="88">
        <f t="shared" si="3"/>
        <v>79.81307999999999</v>
      </c>
      <c r="Q52" s="88">
        <f t="shared" si="4"/>
        <v>0</v>
      </c>
      <c r="R52" s="88">
        <f t="shared" si="5"/>
        <v>0</v>
      </c>
      <c r="S52" s="88">
        <f t="shared" si="6"/>
        <v>16.90678</v>
      </c>
      <c r="T52" s="89">
        <v>61.07</v>
      </c>
      <c r="U52" s="88">
        <f t="shared" si="25"/>
        <v>6.6068</v>
      </c>
      <c r="V52" s="90">
        <f t="shared" si="24"/>
        <v>8.62</v>
      </c>
      <c r="W52" s="88">
        <f t="shared" si="9"/>
        <v>1.68572</v>
      </c>
      <c r="X52" s="89">
        <v>4.31</v>
      </c>
      <c r="Y52" s="88">
        <f t="shared" si="10"/>
        <v>27.715220000000002</v>
      </c>
      <c r="Z52" s="88">
        <f t="shared" si="11"/>
        <v>17.675269999999998</v>
      </c>
      <c r="AA52" s="91">
        <f t="shared" si="12"/>
        <v>68.90407</v>
      </c>
      <c r="AB52" s="91">
        <f t="shared" si="13"/>
        <v>148.71715</v>
      </c>
    </row>
    <row r="53" spans="1:28" ht="45.75" customHeight="1">
      <c r="A53" s="80">
        <v>26</v>
      </c>
      <c r="B53" s="81">
        <v>60841</v>
      </c>
      <c r="C53" s="81" t="s">
        <v>86</v>
      </c>
      <c r="D53" s="82" t="s">
        <v>87</v>
      </c>
      <c r="E53" s="83">
        <f>0.374+0.019+0.011+0.399+0.013</f>
        <v>0.8160000000000001</v>
      </c>
      <c r="F53" s="84">
        <f t="shared" si="16"/>
        <v>9.552</v>
      </c>
      <c r="G53" s="85">
        <v>0</v>
      </c>
      <c r="H53" s="85">
        <v>0.008</v>
      </c>
      <c r="I53" s="85">
        <v>0.17</v>
      </c>
      <c r="J53" s="85">
        <f>12.37-J54-J55</f>
        <v>7.205</v>
      </c>
      <c r="K53" s="85">
        <v>1.2770000000000001</v>
      </c>
      <c r="L53" s="85">
        <v>1.445</v>
      </c>
      <c r="M53" s="86">
        <v>0.724</v>
      </c>
      <c r="N53" s="87">
        <f t="shared" si="22"/>
        <v>0.06431999999999999</v>
      </c>
      <c r="O53" s="88">
        <f t="shared" si="2"/>
        <v>0</v>
      </c>
      <c r="P53" s="88">
        <f t="shared" si="3"/>
        <v>0.06431999999999999</v>
      </c>
      <c r="Q53" s="88">
        <f t="shared" si="4"/>
        <v>0</v>
      </c>
      <c r="R53" s="88">
        <f t="shared" si="5"/>
        <v>0</v>
      </c>
      <c r="S53" s="88">
        <f t="shared" si="6"/>
        <v>4.214300000000001</v>
      </c>
      <c r="T53" s="89">
        <v>16.45</v>
      </c>
      <c r="U53" s="88">
        <f t="shared" si="25"/>
        <v>71.68974999999999</v>
      </c>
      <c r="V53" s="90">
        <f t="shared" si="24"/>
        <v>164.84</v>
      </c>
      <c r="W53" s="88">
        <f t="shared" si="9"/>
        <v>31.656830000000003</v>
      </c>
      <c r="X53" s="89">
        <v>82.42</v>
      </c>
      <c r="Y53" s="88">
        <f t="shared" si="10"/>
        <v>35.82155</v>
      </c>
      <c r="Z53" s="88">
        <f t="shared" si="11"/>
        <v>17.94796</v>
      </c>
      <c r="AA53" s="91">
        <f t="shared" si="12"/>
        <v>129.67355999999998</v>
      </c>
      <c r="AB53" s="91">
        <f t="shared" si="13"/>
        <v>129.73788</v>
      </c>
    </row>
    <row r="54" spans="1:64" ht="41.25" customHeight="1">
      <c r="A54" s="92"/>
      <c r="B54" s="93" t="s">
        <v>88</v>
      </c>
      <c r="C54" s="93" t="s">
        <v>38</v>
      </c>
      <c r="D54" s="94" t="s">
        <v>39</v>
      </c>
      <c r="E54" s="95">
        <v>778.05</v>
      </c>
      <c r="F54" s="96">
        <f t="shared" si="16"/>
        <v>4.8469999999999995</v>
      </c>
      <c r="G54" s="97"/>
      <c r="H54" s="97"/>
      <c r="I54" s="97"/>
      <c r="J54" s="97">
        <v>4.8469999999999995</v>
      </c>
      <c r="K54" s="97"/>
      <c r="L54" s="97"/>
      <c r="M54" s="98"/>
      <c r="N54" s="99"/>
      <c r="O54" s="100">
        <f t="shared" si="2"/>
        <v>0</v>
      </c>
      <c r="P54" s="100">
        <f t="shared" si="3"/>
        <v>0</v>
      </c>
      <c r="Q54" s="100">
        <f t="shared" si="4"/>
        <v>0</v>
      </c>
      <c r="R54" s="100">
        <f t="shared" si="5"/>
        <v>0</v>
      </c>
      <c r="S54" s="100">
        <f t="shared" si="6"/>
        <v>0</v>
      </c>
      <c r="T54" s="101"/>
      <c r="U54" s="100">
        <f aca="true" t="shared" si="26" ref="U54:U55">J54*$F$96</f>
        <v>60.73290999999999</v>
      </c>
      <c r="V54" s="102"/>
      <c r="W54" s="100">
        <f t="shared" si="9"/>
        <v>0</v>
      </c>
      <c r="X54" s="101"/>
      <c r="Y54" s="100">
        <f t="shared" si="10"/>
        <v>0</v>
      </c>
      <c r="Z54" s="100">
        <f t="shared" si="11"/>
        <v>0</v>
      </c>
      <c r="AA54" s="103">
        <f t="shared" si="12"/>
        <v>60.73290999999999</v>
      </c>
      <c r="AB54" s="103">
        <f t="shared" si="13"/>
        <v>60.73290999999999</v>
      </c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</row>
    <row r="55" spans="1:64" ht="36" customHeight="1">
      <c r="A55" s="92"/>
      <c r="B55" s="93" t="s">
        <v>89</v>
      </c>
      <c r="C55" s="93" t="s">
        <v>38</v>
      </c>
      <c r="D55" s="94" t="s">
        <v>39</v>
      </c>
      <c r="E55" s="95">
        <v>21.45</v>
      </c>
      <c r="F55" s="96">
        <f t="shared" si="16"/>
        <v>0.318</v>
      </c>
      <c r="G55" s="97"/>
      <c r="H55" s="97"/>
      <c r="I55" s="97"/>
      <c r="J55" s="97">
        <v>0.318</v>
      </c>
      <c r="K55" s="97"/>
      <c r="L55" s="97"/>
      <c r="M55" s="98"/>
      <c r="N55" s="99">
        <f aca="true" t="shared" si="27" ref="N55:N56">O55+P55+Q55+R55</f>
        <v>0</v>
      </c>
      <c r="O55" s="100">
        <f t="shared" si="2"/>
        <v>0</v>
      </c>
      <c r="P55" s="100">
        <f t="shared" si="3"/>
        <v>0</v>
      </c>
      <c r="Q55" s="100">
        <f t="shared" si="4"/>
        <v>0</v>
      </c>
      <c r="R55" s="100">
        <f t="shared" si="5"/>
        <v>0</v>
      </c>
      <c r="S55" s="100">
        <f t="shared" si="6"/>
        <v>0</v>
      </c>
      <c r="T55" s="101"/>
      <c r="U55" s="100">
        <f t="shared" si="26"/>
        <v>3.98454</v>
      </c>
      <c r="V55" s="102"/>
      <c r="W55" s="100">
        <f t="shared" si="9"/>
        <v>0</v>
      </c>
      <c r="X55" s="101"/>
      <c r="Y55" s="100">
        <f t="shared" si="10"/>
        <v>0</v>
      </c>
      <c r="Z55" s="100">
        <f t="shared" si="11"/>
        <v>0</v>
      </c>
      <c r="AA55" s="103">
        <f t="shared" si="12"/>
        <v>3.98454</v>
      </c>
      <c r="AB55" s="103">
        <f t="shared" si="13"/>
        <v>3.98454</v>
      </c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</row>
    <row r="56" spans="1:64" ht="26.25">
      <c r="A56" s="80">
        <v>27</v>
      </c>
      <c r="B56" s="81">
        <v>60842</v>
      </c>
      <c r="C56" s="81" t="s">
        <v>90</v>
      </c>
      <c r="D56" s="82" t="s">
        <v>78</v>
      </c>
      <c r="E56" s="83">
        <v>89</v>
      </c>
      <c r="F56" s="84">
        <f t="shared" si="16"/>
        <v>4.382</v>
      </c>
      <c r="G56" s="85">
        <v>0</v>
      </c>
      <c r="H56" s="85">
        <v>1.803</v>
      </c>
      <c r="I56" s="85">
        <v>0.7</v>
      </c>
      <c r="J56" s="85">
        <v>0.324</v>
      </c>
      <c r="K56" s="85">
        <v>0.037</v>
      </c>
      <c r="L56" s="85">
        <v>0.892</v>
      </c>
      <c r="M56" s="86">
        <v>0.663</v>
      </c>
      <c r="N56" s="87">
        <f t="shared" si="27"/>
        <v>14.496119999999998</v>
      </c>
      <c r="O56" s="88">
        <f t="shared" si="2"/>
        <v>0</v>
      </c>
      <c r="P56" s="88">
        <f t="shared" si="3"/>
        <v>14.496119999999998</v>
      </c>
      <c r="Q56" s="88">
        <f t="shared" si="4"/>
        <v>0</v>
      </c>
      <c r="R56" s="88">
        <f t="shared" si="5"/>
        <v>0</v>
      </c>
      <c r="S56" s="88">
        <f t="shared" si="6"/>
        <v>17.352999999999998</v>
      </c>
      <c r="T56" s="89">
        <v>65.6</v>
      </c>
      <c r="U56" s="88">
        <f>J56*$F$94</f>
        <v>3.2237999999999998</v>
      </c>
      <c r="V56" s="90">
        <f>X56*2</f>
        <v>5.02</v>
      </c>
      <c r="W56" s="88">
        <f t="shared" si="9"/>
        <v>0.9172299999999999</v>
      </c>
      <c r="X56" s="89">
        <v>2.51</v>
      </c>
      <c r="Y56" s="88">
        <f t="shared" si="10"/>
        <v>22.11268</v>
      </c>
      <c r="Z56" s="88">
        <f t="shared" si="11"/>
        <v>16.43577</v>
      </c>
      <c r="AA56" s="91">
        <f t="shared" si="12"/>
        <v>59.125249999999994</v>
      </c>
      <c r="AB56" s="91">
        <f t="shared" si="13"/>
        <v>73.62136999999998</v>
      </c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</row>
    <row r="57" spans="1:28" ht="26.25">
      <c r="A57" s="80"/>
      <c r="B57" s="81"/>
      <c r="C57" s="81"/>
      <c r="D57" s="82"/>
      <c r="E57" s="83"/>
      <c r="F57" s="84"/>
      <c r="G57" s="85"/>
      <c r="H57" s="85"/>
      <c r="I57" s="85"/>
      <c r="J57" s="85"/>
      <c r="K57" s="85"/>
      <c r="L57" s="85"/>
      <c r="M57" s="86"/>
      <c r="N57" s="87"/>
      <c r="O57" s="88">
        <f t="shared" si="2"/>
        <v>0</v>
      </c>
      <c r="P57" s="88">
        <f t="shared" si="3"/>
        <v>0</v>
      </c>
      <c r="Q57" s="88">
        <f t="shared" si="4"/>
        <v>0</v>
      </c>
      <c r="R57" s="88">
        <f t="shared" si="5"/>
        <v>0</v>
      </c>
      <c r="S57" s="88">
        <f t="shared" si="6"/>
        <v>0</v>
      </c>
      <c r="T57" s="89"/>
      <c r="U57" s="88"/>
      <c r="V57" s="75"/>
      <c r="W57" s="88">
        <f t="shared" si="9"/>
        <v>0</v>
      </c>
      <c r="X57" s="89"/>
      <c r="Y57" s="88">
        <f t="shared" si="10"/>
        <v>0</v>
      </c>
      <c r="Z57" s="88">
        <f t="shared" si="11"/>
        <v>0</v>
      </c>
      <c r="AA57" s="91"/>
      <c r="AB57" s="91"/>
    </row>
    <row r="58" spans="1:28" ht="40.5">
      <c r="A58" s="80">
        <v>28</v>
      </c>
      <c r="B58" s="81">
        <v>60844</v>
      </c>
      <c r="C58" s="81" t="s">
        <v>91</v>
      </c>
      <c r="D58" s="82" t="s">
        <v>83</v>
      </c>
      <c r="E58" s="83">
        <v>0.1012</v>
      </c>
      <c r="F58" s="84">
        <f aca="true" t="shared" si="28" ref="F58:F59">G58+H58+I58+J58+L58+M58</f>
        <v>2.286</v>
      </c>
      <c r="G58" s="107"/>
      <c r="H58" s="107"/>
      <c r="I58" s="107">
        <v>0.30000000000000004</v>
      </c>
      <c r="J58" s="107">
        <f>1.709-J59</f>
        <v>1.016</v>
      </c>
      <c r="K58" s="107">
        <v>0.1</v>
      </c>
      <c r="L58" s="107">
        <v>0.59</v>
      </c>
      <c r="M58" s="108">
        <v>0.38</v>
      </c>
      <c r="N58" s="87">
        <f aca="true" t="shared" si="29" ref="N58:N59">O58+P58+Q58+R58</f>
        <v>0</v>
      </c>
      <c r="O58" s="88">
        <f t="shared" si="2"/>
        <v>0</v>
      </c>
      <c r="P58" s="88">
        <f t="shared" si="3"/>
        <v>0</v>
      </c>
      <c r="Q58" s="88">
        <f t="shared" si="4"/>
        <v>0</v>
      </c>
      <c r="R58" s="88">
        <f t="shared" si="5"/>
        <v>0</v>
      </c>
      <c r="S58" s="88">
        <f t="shared" si="6"/>
        <v>7.437000000000001</v>
      </c>
      <c r="T58" s="89">
        <v>27.97</v>
      </c>
      <c r="U58" s="88">
        <f>J58*$F$94</f>
        <v>10.1092</v>
      </c>
      <c r="V58" s="90">
        <f>X58*2</f>
        <v>13.66</v>
      </c>
      <c r="W58" s="88">
        <f t="shared" si="9"/>
        <v>2.479</v>
      </c>
      <c r="X58" s="89">
        <v>6.83</v>
      </c>
      <c r="Y58" s="88">
        <f t="shared" si="10"/>
        <v>14.6261</v>
      </c>
      <c r="Z58" s="88">
        <f t="shared" si="11"/>
        <v>9.4202</v>
      </c>
      <c r="AA58" s="91">
        <f aca="true" t="shared" si="30" ref="AA58:AA60">Z58+Y58+U58+S58+R58+Q58</f>
        <v>41.5925</v>
      </c>
      <c r="AB58" s="91">
        <f aca="true" t="shared" si="31" ref="AB58:AB60">AA58+P58+O58</f>
        <v>41.5925</v>
      </c>
    </row>
    <row r="59" spans="1:64" ht="38.25" customHeight="1">
      <c r="A59" s="109"/>
      <c r="B59" s="110" t="s">
        <v>89</v>
      </c>
      <c r="C59" s="110" t="s">
        <v>38</v>
      </c>
      <c r="D59" s="111" t="s">
        <v>39</v>
      </c>
      <c r="E59" s="112">
        <v>46.812</v>
      </c>
      <c r="F59" s="113">
        <f t="shared" si="28"/>
        <v>0.6930000000000001</v>
      </c>
      <c r="G59" s="114"/>
      <c r="H59" s="114"/>
      <c r="I59" s="114"/>
      <c r="J59" s="114">
        <v>0.6930000000000001</v>
      </c>
      <c r="K59" s="115"/>
      <c r="L59" s="115"/>
      <c r="M59" s="116"/>
      <c r="N59" s="117">
        <f t="shared" si="29"/>
        <v>0</v>
      </c>
      <c r="O59" s="100">
        <f t="shared" si="2"/>
        <v>0</v>
      </c>
      <c r="P59" s="100">
        <f t="shared" si="3"/>
        <v>0</v>
      </c>
      <c r="Q59" s="100">
        <f t="shared" si="4"/>
        <v>0</v>
      </c>
      <c r="R59" s="100">
        <f t="shared" si="5"/>
        <v>0</v>
      </c>
      <c r="S59" s="118">
        <f t="shared" si="6"/>
        <v>0</v>
      </c>
      <c r="T59" s="119"/>
      <c r="U59" s="118">
        <f>J59*$F$96</f>
        <v>8.68329</v>
      </c>
      <c r="V59" s="120"/>
      <c r="W59" s="118">
        <f t="shared" si="9"/>
        <v>0</v>
      </c>
      <c r="X59" s="119"/>
      <c r="Y59" s="118">
        <f t="shared" si="10"/>
        <v>0</v>
      </c>
      <c r="Z59" s="118">
        <f t="shared" si="11"/>
        <v>0</v>
      </c>
      <c r="AA59" s="121">
        <f t="shared" si="30"/>
        <v>8.68329</v>
      </c>
      <c r="AB59" s="121">
        <f t="shared" si="31"/>
        <v>8.68329</v>
      </c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</row>
    <row r="60" spans="1:67" s="135" customFormat="1" ht="45.75" customHeight="1">
      <c r="A60" s="122"/>
      <c r="B60" s="123"/>
      <c r="C60" s="124" t="s">
        <v>92</v>
      </c>
      <c r="D60" s="125"/>
      <c r="E60" s="126"/>
      <c r="F60" s="127">
        <f>SUM(F20:F59)</f>
        <v>26024.463999999996</v>
      </c>
      <c r="G60" s="127">
        <f>SUM(G20:G59)</f>
        <v>10236.466</v>
      </c>
      <c r="H60" s="127">
        <f>SUM(H20:H59)</f>
        <v>13410.344000000001</v>
      </c>
      <c r="I60" s="127">
        <f>SUM(I20:I59)</f>
        <v>358.5319999999999</v>
      </c>
      <c r="J60" s="127">
        <f>SUM(J20:J59)</f>
        <v>1132.897</v>
      </c>
      <c r="K60" s="127">
        <f>SUM(K20:K59)</f>
        <v>127.295</v>
      </c>
      <c r="L60" s="127">
        <f>SUM(L20:L59)</f>
        <v>536.1590000000001</v>
      </c>
      <c r="M60" s="128">
        <f>SUM(M20:M59)</f>
        <v>350.06600000000003</v>
      </c>
      <c r="N60" s="129">
        <f>SUM(N20:N59)</f>
        <v>160229.87167999995</v>
      </c>
      <c r="O60" s="129">
        <f>SUM(O20:O59)</f>
        <v>52410.70592</v>
      </c>
      <c r="P60" s="129">
        <f>SUM(P20:P59)</f>
        <v>107819.16576000002</v>
      </c>
      <c r="Q60" s="129">
        <f>SUM(Q20:Q59)</f>
        <v>0</v>
      </c>
      <c r="R60" s="129">
        <f>SUM(R20:R59)</f>
        <v>0</v>
      </c>
      <c r="S60" s="129">
        <f>SUM(S20:S59)</f>
        <v>8888.00828</v>
      </c>
      <c r="T60" s="130">
        <f>SUM(T20:T59)</f>
        <v>28170.12</v>
      </c>
      <c r="U60" s="129">
        <f>SUM(U20:U59)</f>
        <v>11414.583770000001</v>
      </c>
      <c r="V60" s="130">
        <f>SUM(V20:V59)</f>
        <v>17286.860000000004</v>
      </c>
      <c r="W60" s="129">
        <f>SUM(W20:W59)</f>
        <v>3155.643049999999</v>
      </c>
      <c r="X60" s="130">
        <f>SUM(X20:X59)</f>
        <v>8643.43</v>
      </c>
      <c r="Y60" s="129">
        <f>SUM(Y20:Y59)</f>
        <v>13291.38161</v>
      </c>
      <c r="Z60" s="129">
        <f>SUM(Z20:Z59)</f>
        <v>8678.136140000002</v>
      </c>
      <c r="AA60" s="131">
        <f t="shared" si="30"/>
        <v>42272.109800000006</v>
      </c>
      <c r="AB60" s="132">
        <f t="shared" si="31"/>
        <v>202501.98148000005</v>
      </c>
      <c r="AC60" s="133">
        <f>AA60+O60+P60</f>
        <v>202501.98148000002</v>
      </c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  <c r="BE60" s="134"/>
      <c r="BF60" s="134"/>
      <c r="BG60" s="134"/>
      <c r="BH60" s="134"/>
      <c r="BI60" s="134"/>
      <c r="BJ60" s="134"/>
      <c r="BK60" s="134"/>
      <c r="BL60" s="134"/>
      <c r="BM60"/>
      <c r="BN60"/>
      <c r="BO60"/>
    </row>
    <row r="61" spans="1:67" s="135" customFormat="1" ht="25.5">
      <c r="A61" s="136"/>
      <c r="B61" s="137"/>
      <c r="C61" s="138" t="s">
        <v>93</v>
      </c>
      <c r="D61" s="139"/>
      <c r="E61" s="140"/>
      <c r="F61" s="141"/>
      <c r="G61" s="141"/>
      <c r="H61" s="141"/>
      <c r="I61" s="141"/>
      <c r="J61" s="142">
        <f>J59+J55+J54+J48+J31+J30+J28+J27+J23+J22</f>
        <v>55.139</v>
      </c>
      <c r="K61" s="141"/>
      <c r="L61" s="141"/>
      <c r="M61" s="141"/>
      <c r="N61" s="141"/>
      <c r="O61" s="141"/>
      <c r="P61" s="141"/>
      <c r="Q61" s="141"/>
      <c r="R61" s="141"/>
      <c r="S61" s="141"/>
      <c r="T61" s="143"/>
      <c r="U61" s="142">
        <f>U59+U55+U54+U48+U31+U30+U28+U27+U23+U22</f>
        <v>690.8916699999999</v>
      </c>
      <c r="V61" s="143"/>
      <c r="W61" s="141"/>
      <c r="X61" s="143"/>
      <c r="Y61" s="141"/>
      <c r="Z61" s="141"/>
      <c r="AA61" s="144"/>
      <c r="AB61" s="144"/>
      <c r="AC61" s="133">
        <f>AA59+AA58+AA56+AA55+AA54+AA53+AA52+AA51+AA50+AA49+AA48+AA47+AA46+AA45+AA44+AA43+AA42+AA41+AA40+AA39+AA38+AA37+AA36+AA35+AA34+AA33+AA32+AA31+AA30+AA29+AA28+AA27+AA26+AA25+AA24+AA23+AA22+AA21+AA20</f>
        <v>42272.10979999999</v>
      </c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  <c r="BE61" s="134"/>
      <c r="BF61" s="134"/>
      <c r="BG61" s="134"/>
      <c r="BH61" s="134"/>
      <c r="BI61" s="134"/>
      <c r="BJ61" s="134"/>
      <c r="BK61" s="134"/>
      <c r="BL61" s="134"/>
      <c r="BM61"/>
      <c r="BN61"/>
      <c r="BO61"/>
    </row>
    <row r="62" spans="1:67" s="154" customFormat="1" ht="48.75" customHeight="1">
      <c r="A62" s="145"/>
      <c r="B62" s="146"/>
      <c r="C62" s="147" t="s">
        <v>94</v>
      </c>
      <c r="D62" s="148"/>
      <c r="E62" s="149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1"/>
      <c r="U62" s="150"/>
      <c r="V62" s="151"/>
      <c r="W62" s="150"/>
      <c r="X62" s="151"/>
      <c r="Y62" s="150"/>
      <c r="Z62" s="150"/>
      <c r="AA62" s="152"/>
      <c r="AB62" s="152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/>
      <c r="BN62"/>
      <c r="BO62"/>
    </row>
    <row r="63" spans="1:67" s="135" customFormat="1" ht="72" customHeight="1">
      <c r="A63" s="155"/>
      <c r="B63" s="156"/>
      <c r="C63" s="157" t="s">
        <v>95</v>
      </c>
      <c r="D63" s="158"/>
      <c r="E63" s="159"/>
      <c r="F63" s="160">
        <f>G63+H63+I63+J63+L63+M63</f>
        <v>25721.527260869567</v>
      </c>
      <c r="G63" s="160">
        <f>G60</f>
        <v>10236.466</v>
      </c>
      <c r="H63" s="160">
        <f>H60</f>
        <v>13410.344000000001</v>
      </c>
      <c r="I63" s="160">
        <f>I60/1.15</f>
        <v>311.7669565217391</v>
      </c>
      <c r="J63" s="160">
        <f>(J60-J61)/1.15+J61</f>
        <v>992.3198695652175</v>
      </c>
      <c r="K63" s="160">
        <f>K60/1.15</f>
        <v>110.69130434782609</v>
      </c>
      <c r="L63" s="160">
        <f>L60/1.15</f>
        <v>466.22521739130445</v>
      </c>
      <c r="M63" s="160">
        <f>M60/1.15</f>
        <v>304.4052173913044</v>
      </c>
      <c r="N63" s="160"/>
      <c r="O63" s="160"/>
      <c r="P63" s="160"/>
      <c r="Q63" s="160"/>
      <c r="R63" s="160"/>
      <c r="S63" s="160">
        <f>S60</f>
        <v>8888.00828</v>
      </c>
      <c r="T63" s="161">
        <f>T60</f>
        <v>28170.12</v>
      </c>
      <c r="U63" s="160">
        <f>U60</f>
        <v>11414.583770000001</v>
      </c>
      <c r="V63" s="161">
        <f>V60</f>
        <v>17286.860000000004</v>
      </c>
      <c r="W63" s="160">
        <f>W60</f>
        <v>3155.643049999999</v>
      </c>
      <c r="X63" s="161">
        <f>X60</f>
        <v>8643.43</v>
      </c>
      <c r="Y63" s="160">
        <f>Y60</f>
        <v>13291.38161</v>
      </c>
      <c r="Z63" s="160">
        <f>Z60</f>
        <v>8678.136140000002</v>
      </c>
      <c r="AA63" s="162">
        <f>Z63+Y63+S63+U63+R60+Q60</f>
        <v>42272.109800000006</v>
      </c>
      <c r="AB63" s="162">
        <f>AA63+P60+O60</f>
        <v>202501.98148000005</v>
      </c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  <c r="BE63" s="134"/>
      <c r="BF63" s="134"/>
      <c r="BG63" s="134"/>
      <c r="BH63" s="134"/>
      <c r="BI63" s="134"/>
      <c r="BJ63" s="134"/>
      <c r="BK63" s="134"/>
      <c r="BL63" s="134"/>
      <c r="BM63"/>
      <c r="BN63"/>
      <c r="BO63"/>
    </row>
    <row r="64" spans="1:67" s="167" customFormat="1" ht="69.75" customHeight="1">
      <c r="A64" s="155"/>
      <c r="B64" s="156"/>
      <c r="C64" s="157" t="s">
        <v>96</v>
      </c>
      <c r="D64" s="163"/>
      <c r="E64" s="158"/>
      <c r="F64" s="164"/>
      <c r="G64" s="164"/>
      <c r="H64" s="164"/>
      <c r="I64" s="164"/>
      <c r="J64" s="164"/>
      <c r="K64" s="164"/>
      <c r="L64" s="164"/>
      <c r="M64" s="164"/>
      <c r="N64" s="164">
        <f>N60</f>
        <v>160229.87167999995</v>
      </c>
      <c r="O64" s="164">
        <f>O60</f>
        <v>52410.70592</v>
      </c>
      <c r="P64" s="164">
        <f>P60</f>
        <v>107819.16576000002</v>
      </c>
      <c r="Q64" s="164">
        <f>Q60</f>
        <v>0</v>
      </c>
      <c r="R64" s="164">
        <f>R60</f>
        <v>0</v>
      </c>
      <c r="S64" s="164">
        <f>S63</f>
        <v>8888.00828</v>
      </c>
      <c r="T64" s="165">
        <f>T63</f>
        <v>28170.12</v>
      </c>
      <c r="U64" s="164">
        <f>U63</f>
        <v>11414.583770000001</v>
      </c>
      <c r="V64" s="165">
        <f>V63</f>
        <v>17286.860000000004</v>
      </c>
      <c r="W64" s="164">
        <f>W63</f>
        <v>3155.643049999999</v>
      </c>
      <c r="X64" s="165">
        <f>X63</f>
        <v>8643.43</v>
      </c>
      <c r="Y64" s="164">
        <f>Y63</f>
        <v>13291.38161</v>
      </c>
      <c r="Z64" s="164">
        <f>Z63</f>
        <v>8678.136140000002</v>
      </c>
      <c r="AA64" s="162">
        <f>Z64+Y64+U64+S64+R64+Q64</f>
        <v>42272.109800000006</v>
      </c>
      <c r="AB64" s="162">
        <f>AA64+P64+O64</f>
        <v>202501.98148000005</v>
      </c>
      <c r="AC64" s="166">
        <f>AB64-R64-Q64</f>
        <v>202501.98148000005</v>
      </c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166"/>
      <c r="BH64" s="166"/>
      <c r="BI64" s="166"/>
      <c r="BJ64" s="166"/>
      <c r="BK64" s="166"/>
      <c r="BL64" s="166"/>
      <c r="BM64" s="166"/>
      <c r="BN64" s="166"/>
      <c r="BO64" s="166"/>
    </row>
    <row r="65" spans="1:67" s="154" customFormat="1" ht="60" customHeight="1">
      <c r="A65" s="145"/>
      <c r="B65" s="146"/>
      <c r="C65" s="147" t="s">
        <v>97</v>
      </c>
      <c r="D65" s="168"/>
      <c r="E65" s="169">
        <v>0.031200000000000002</v>
      </c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64"/>
      <c r="S65" s="150"/>
      <c r="T65" s="151"/>
      <c r="U65" s="150"/>
      <c r="V65" s="151"/>
      <c r="W65" s="150"/>
      <c r="X65" s="151"/>
      <c r="Y65" s="150"/>
      <c r="Z65" s="170"/>
      <c r="AA65" s="171">
        <f>AB65</f>
        <v>4682.847797472002</v>
      </c>
      <c r="AB65" s="171">
        <f>(AB64-O64-Q64)*E65</f>
        <v>4682.847797472002</v>
      </c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3"/>
      <c r="BF65" s="153"/>
      <c r="BG65" s="153"/>
      <c r="BH65" s="153"/>
      <c r="BI65" s="153"/>
      <c r="BJ65" s="153"/>
      <c r="BK65" s="153"/>
      <c r="BL65" s="153"/>
      <c r="BM65"/>
      <c r="BN65"/>
      <c r="BO65"/>
    </row>
    <row r="66" spans="1:67" s="135" customFormat="1" ht="60.75" customHeight="1">
      <c r="A66" s="155"/>
      <c r="B66" s="156"/>
      <c r="C66" s="157" t="s">
        <v>98</v>
      </c>
      <c r="D66" s="163"/>
      <c r="E66" s="172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73"/>
      <c r="R66" s="160"/>
      <c r="S66" s="150"/>
      <c r="T66" s="151"/>
      <c r="U66" s="150"/>
      <c r="V66" s="151"/>
      <c r="W66" s="150"/>
      <c r="X66" s="151"/>
      <c r="Y66" s="150"/>
      <c r="Z66" s="150"/>
      <c r="AA66" s="174">
        <f>AA64+AA65</f>
        <v>46954.95759747201</v>
      </c>
      <c r="AB66" s="175">
        <f>AB64+AB65</f>
        <v>207184.82927747205</v>
      </c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  <c r="AT66" s="134"/>
      <c r="AU66" s="134"/>
      <c r="AV66" s="134"/>
      <c r="AW66" s="134"/>
      <c r="AX66" s="134"/>
      <c r="AY66" s="134"/>
      <c r="AZ66" s="134"/>
      <c r="BA66" s="134"/>
      <c r="BB66" s="134"/>
      <c r="BC66" s="134"/>
      <c r="BD66" s="134"/>
      <c r="BE66" s="134"/>
      <c r="BF66" s="134"/>
      <c r="BG66" s="134"/>
      <c r="BH66" s="134"/>
      <c r="BI66" s="134"/>
      <c r="BJ66" s="134"/>
      <c r="BK66" s="134"/>
      <c r="BL66" s="134"/>
      <c r="BM66"/>
      <c r="BN66"/>
      <c r="BO66"/>
    </row>
    <row r="67" spans="1:67" s="135" customFormat="1" ht="39.75" customHeight="1">
      <c r="A67" s="155"/>
      <c r="B67" s="156"/>
      <c r="C67" s="157" t="s">
        <v>99</v>
      </c>
      <c r="D67" s="176"/>
      <c r="E67" s="172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2"/>
      <c r="Q67" s="160"/>
      <c r="R67" s="160"/>
      <c r="S67" s="150"/>
      <c r="T67" s="161"/>
      <c r="U67" s="150"/>
      <c r="V67" s="161"/>
      <c r="W67" s="150"/>
      <c r="X67" s="161"/>
      <c r="Y67" s="150"/>
      <c r="Z67" s="170"/>
      <c r="AA67" s="174"/>
      <c r="AB67" s="175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  <c r="BB67" s="134"/>
      <c r="BC67" s="134"/>
      <c r="BD67" s="134"/>
      <c r="BE67" s="134"/>
      <c r="BF67" s="134"/>
      <c r="BG67" s="134"/>
      <c r="BH67" s="134"/>
      <c r="BI67" s="134"/>
      <c r="BJ67" s="134"/>
      <c r="BK67" s="134"/>
      <c r="BL67" s="134"/>
      <c r="BM67"/>
      <c r="BN67"/>
      <c r="BO67"/>
    </row>
    <row r="68" spans="1:67" s="154" customFormat="1" ht="174.75" customHeight="1">
      <c r="A68" s="145"/>
      <c r="B68" s="146"/>
      <c r="C68" s="177" t="s">
        <v>100</v>
      </c>
      <c r="D68" s="168"/>
      <c r="E68" s="169">
        <v>0.048600000000000004</v>
      </c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62"/>
      <c r="Q68" s="150"/>
      <c r="R68" s="150"/>
      <c r="S68" s="150"/>
      <c r="T68" s="151"/>
      <c r="U68" s="150"/>
      <c r="V68" s="151"/>
      <c r="W68" s="150"/>
      <c r="X68" s="151"/>
      <c r="Y68" s="150"/>
      <c r="Z68" s="170"/>
      <c r="AA68" s="171">
        <f aca="true" t="shared" si="32" ref="AA68:AA73">AB68</f>
        <v>7522.022395173141</v>
      </c>
      <c r="AB68" s="171">
        <f>(AB66-O60-Q60)*E68</f>
        <v>7522.022395173141</v>
      </c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  <c r="BI68" s="153"/>
      <c r="BJ68" s="153"/>
      <c r="BK68" s="153"/>
      <c r="BL68" s="153"/>
      <c r="BM68"/>
      <c r="BN68"/>
      <c r="BO68"/>
    </row>
    <row r="69" spans="1:67" s="154" customFormat="1" ht="37.5" customHeight="1">
      <c r="A69" s="145"/>
      <c r="B69" s="146"/>
      <c r="C69" s="177" t="s">
        <v>101</v>
      </c>
      <c r="D69" s="168"/>
      <c r="E69" s="178" t="s">
        <v>102</v>
      </c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1"/>
      <c r="U69" s="150"/>
      <c r="V69" s="151"/>
      <c r="W69" s="150"/>
      <c r="X69" s="151"/>
      <c r="Y69" s="150"/>
      <c r="Z69" s="170"/>
      <c r="AA69" s="171">
        <f t="shared" si="32"/>
        <v>619.0964934298881</v>
      </c>
      <c r="AB69" s="179">
        <f>(AB66-O60-Q60)*E69</f>
        <v>619.0964934298881</v>
      </c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53"/>
      <c r="BG69" s="153"/>
      <c r="BH69" s="153"/>
      <c r="BI69" s="153"/>
      <c r="BJ69" s="153"/>
      <c r="BK69" s="153"/>
      <c r="BL69" s="153"/>
      <c r="BM69"/>
      <c r="BN69"/>
      <c r="BO69"/>
    </row>
    <row r="70" spans="1:67" s="154" customFormat="1" ht="36" customHeight="1">
      <c r="A70" s="145"/>
      <c r="B70" s="146"/>
      <c r="C70" s="180" t="s">
        <v>93</v>
      </c>
      <c r="D70" s="146"/>
      <c r="E70" s="181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3"/>
      <c r="U70" s="182"/>
      <c r="V70" s="183"/>
      <c r="W70" s="182"/>
      <c r="X70" s="183"/>
      <c r="Y70" s="182"/>
      <c r="Z70" s="184"/>
      <c r="AA70" s="185">
        <f t="shared" si="32"/>
        <v>0</v>
      </c>
      <c r="AB70" s="186">
        <v>0</v>
      </c>
      <c r="AC70" s="153"/>
      <c r="AD70" s="153"/>
      <c r="AE70" s="153"/>
      <c r="AF70" s="153"/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53"/>
      <c r="BG70" s="153"/>
      <c r="BH70" s="153"/>
      <c r="BI70" s="153"/>
      <c r="BJ70" s="153"/>
      <c r="BK70" s="153"/>
      <c r="BL70" s="153"/>
      <c r="BM70"/>
      <c r="BN70"/>
      <c r="BO70"/>
    </row>
    <row r="71" spans="1:67" s="154" customFormat="1" ht="36" customHeight="1">
      <c r="A71" s="145"/>
      <c r="B71" s="146"/>
      <c r="C71" s="180" t="s">
        <v>103</v>
      </c>
      <c r="D71" s="146"/>
      <c r="E71" s="181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3"/>
      <c r="U71" s="182"/>
      <c r="V71" s="183"/>
      <c r="W71" s="182"/>
      <c r="X71" s="183"/>
      <c r="Y71" s="182"/>
      <c r="Z71" s="184"/>
      <c r="AA71" s="185">
        <f t="shared" si="32"/>
        <v>0</v>
      </c>
      <c r="AB71" s="186">
        <v>0</v>
      </c>
      <c r="AC71" s="153"/>
      <c r="AD71" s="153"/>
      <c r="AE71" s="153"/>
      <c r="AF71" s="153"/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/>
      <c r="BN71"/>
      <c r="BO71"/>
    </row>
    <row r="72" spans="1:67" s="154" customFormat="1" ht="33.75" customHeight="1">
      <c r="A72" s="145"/>
      <c r="B72" s="146"/>
      <c r="C72" s="180" t="s">
        <v>104</v>
      </c>
      <c r="D72" s="146"/>
      <c r="E72" s="181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S72" s="182"/>
      <c r="T72" s="183"/>
      <c r="U72" s="182"/>
      <c r="V72" s="183"/>
      <c r="W72" s="182"/>
      <c r="X72" s="183"/>
      <c r="Y72" s="182"/>
      <c r="Z72" s="184"/>
      <c r="AA72" s="185">
        <f t="shared" si="32"/>
        <v>0</v>
      </c>
      <c r="AB72" s="186">
        <v>0</v>
      </c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153"/>
      <c r="BH72" s="153"/>
      <c r="BI72" s="153"/>
      <c r="BJ72" s="153"/>
      <c r="BK72" s="153"/>
      <c r="BL72" s="153"/>
      <c r="BM72"/>
      <c r="BN72"/>
      <c r="BO72"/>
    </row>
    <row r="73" spans="1:67" s="154" customFormat="1" ht="33.75" customHeight="1">
      <c r="A73" s="145"/>
      <c r="B73" s="146"/>
      <c r="C73" s="180" t="s">
        <v>105</v>
      </c>
      <c r="D73" s="146"/>
      <c r="E73" s="187" t="s">
        <v>106</v>
      </c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3"/>
      <c r="U73" s="182"/>
      <c r="V73" s="183"/>
      <c r="W73" s="182"/>
      <c r="X73" s="183"/>
      <c r="Y73" s="182"/>
      <c r="Z73" s="184"/>
      <c r="AA73" s="179">
        <f t="shared" si="32"/>
        <v>1572.3211776</v>
      </c>
      <c r="AB73" s="179">
        <f>(O60+Q60)*E73</f>
        <v>1572.3211776</v>
      </c>
      <c r="AC73" s="153"/>
      <c r="AD73" s="153"/>
      <c r="AE73" s="153"/>
      <c r="AF73" s="153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  <c r="BG73" s="153"/>
      <c r="BH73" s="153"/>
      <c r="BI73" s="153"/>
      <c r="BJ73" s="153"/>
      <c r="BK73" s="153"/>
      <c r="BL73" s="153"/>
      <c r="BM73"/>
      <c r="BN73"/>
      <c r="BO73"/>
    </row>
    <row r="74" spans="1:67" s="135" customFormat="1" ht="68.25" customHeight="1">
      <c r="A74" s="155"/>
      <c r="B74" s="156"/>
      <c r="C74" s="188" t="s">
        <v>107</v>
      </c>
      <c r="D74" s="189"/>
      <c r="E74" s="190"/>
      <c r="F74" s="191"/>
      <c r="G74" s="191"/>
      <c r="H74" s="191"/>
      <c r="I74" s="191"/>
      <c r="J74" s="191"/>
      <c r="K74" s="191"/>
      <c r="L74" s="191"/>
      <c r="M74" s="192"/>
      <c r="N74" s="192"/>
      <c r="O74" s="192"/>
      <c r="P74" s="192"/>
      <c r="Q74" s="192"/>
      <c r="R74" s="192"/>
      <c r="S74" s="182"/>
      <c r="T74" s="193"/>
      <c r="U74" s="182"/>
      <c r="V74" s="193"/>
      <c r="W74" s="182"/>
      <c r="X74" s="193"/>
      <c r="Y74" s="182"/>
      <c r="Z74" s="184"/>
      <c r="AA74" s="174">
        <f>SUM(AA68:AA73)</f>
        <v>9713.44006620303</v>
      </c>
      <c r="AB74" s="175">
        <f>SUM(AB68:AB73)</f>
        <v>9713.44006620303</v>
      </c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  <c r="BE74" s="134"/>
      <c r="BF74" s="134"/>
      <c r="BG74" s="134"/>
      <c r="BH74" s="134"/>
      <c r="BI74" s="134"/>
      <c r="BJ74" s="134"/>
      <c r="BK74" s="134"/>
      <c r="BL74" s="134"/>
      <c r="BM74"/>
      <c r="BN74"/>
      <c r="BO74"/>
    </row>
    <row r="75" spans="1:67" s="135" customFormat="1" ht="74.25" customHeight="1">
      <c r="A75" s="155"/>
      <c r="B75" s="156"/>
      <c r="C75" s="157" t="s">
        <v>108</v>
      </c>
      <c r="D75" s="189"/>
      <c r="E75" s="194"/>
      <c r="F75" s="191"/>
      <c r="G75" s="191"/>
      <c r="H75" s="191"/>
      <c r="I75" s="191"/>
      <c r="J75" s="191"/>
      <c r="K75" s="191"/>
      <c r="L75" s="191"/>
      <c r="M75" s="192"/>
      <c r="N75" s="192"/>
      <c r="O75" s="192"/>
      <c r="P75" s="192"/>
      <c r="Q75" s="192"/>
      <c r="R75" s="192"/>
      <c r="S75" s="182"/>
      <c r="T75" s="193"/>
      <c r="U75" s="182"/>
      <c r="V75" s="193"/>
      <c r="W75" s="182"/>
      <c r="X75" s="193"/>
      <c r="Y75" s="182"/>
      <c r="Z75" s="184"/>
      <c r="AA75" s="175">
        <f>AA74+AA65+AA60</f>
        <v>56668.39766367504</v>
      </c>
      <c r="AB75" s="175">
        <f>AB74+AB65+AB60</f>
        <v>216898.26934367509</v>
      </c>
      <c r="AC75" s="166">
        <f>AC64+AB65+AB68+AB69+AB79+AB73</f>
        <v>217981.6882071774</v>
      </c>
      <c r="AD75" s="166">
        <f>AC75+Q64+R64</f>
        <v>217981.6882071774</v>
      </c>
      <c r="AE75" s="134"/>
      <c r="AF75" s="134"/>
      <c r="AG75" s="134"/>
      <c r="AH75" s="134"/>
      <c r="AI75" s="134"/>
      <c r="AJ75" s="134"/>
      <c r="AK75" s="134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  <c r="BE75" s="134"/>
      <c r="BF75" s="134"/>
      <c r="BG75" s="134"/>
      <c r="BH75" s="134"/>
      <c r="BI75" s="134"/>
      <c r="BJ75" s="134"/>
      <c r="BK75" s="134"/>
      <c r="BL75" s="134"/>
      <c r="BM75"/>
      <c r="BN75"/>
      <c r="BO75"/>
    </row>
    <row r="76" spans="1:67" s="208" customFormat="1" ht="115.5" customHeight="1">
      <c r="A76" s="195"/>
      <c r="B76" s="196"/>
      <c r="C76" s="197" t="s">
        <v>109</v>
      </c>
      <c r="D76" s="198"/>
      <c r="E76" s="199"/>
      <c r="F76" s="200"/>
      <c r="G76" s="200"/>
      <c r="H76" s="200"/>
      <c r="I76" s="200"/>
      <c r="J76" s="200"/>
      <c r="K76" s="200"/>
      <c r="L76" s="200"/>
      <c r="M76" s="201"/>
      <c r="N76" s="201"/>
      <c r="O76" s="201"/>
      <c r="P76" s="201"/>
      <c r="Q76" s="201"/>
      <c r="R76" s="201"/>
      <c r="S76" s="202"/>
      <c r="T76" s="203"/>
      <c r="U76" s="202"/>
      <c r="V76" s="203"/>
      <c r="W76" s="202"/>
      <c r="X76" s="203"/>
      <c r="Y76" s="204"/>
      <c r="Z76" s="205"/>
      <c r="AA76" s="206">
        <f>Q60+R60</f>
        <v>0</v>
      </c>
      <c r="AB76" s="206">
        <f>AA76+O60+P60</f>
        <v>160229.87168</v>
      </c>
      <c r="AC76" s="207"/>
      <c r="AD76" s="207"/>
      <c r="AE76" s="207"/>
      <c r="AF76" s="207"/>
      <c r="AG76" s="207"/>
      <c r="AH76" s="207"/>
      <c r="AI76" s="207"/>
      <c r="AJ76" s="207"/>
      <c r="AK76" s="207"/>
      <c r="AL76" s="207"/>
      <c r="AM76" s="207"/>
      <c r="AN76" s="207"/>
      <c r="AO76" s="207"/>
      <c r="AP76" s="207"/>
      <c r="AQ76" s="207"/>
      <c r="AR76" s="207"/>
      <c r="AS76" s="207"/>
      <c r="AT76" s="207"/>
      <c r="AU76" s="207"/>
      <c r="AV76" s="207"/>
      <c r="AW76" s="207"/>
      <c r="AX76" s="207"/>
      <c r="AY76" s="207"/>
      <c r="AZ76" s="207"/>
      <c r="BA76" s="207"/>
      <c r="BB76" s="207"/>
      <c r="BC76" s="207"/>
      <c r="BD76" s="207"/>
      <c r="BE76" s="207"/>
      <c r="BF76" s="207"/>
      <c r="BG76" s="207"/>
      <c r="BH76" s="207"/>
      <c r="BI76" s="207"/>
      <c r="BJ76" s="207"/>
      <c r="BK76" s="207"/>
      <c r="BL76" s="207"/>
      <c r="BM76" s="207"/>
      <c r="BN76" s="207"/>
      <c r="BO76" s="207"/>
    </row>
    <row r="77" spans="1:67" s="208" customFormat="1" ht="75.75" customHeight="1">
      <c r="A77" s="195"/>
      <c r="B77" s="196"/>
      <c r="C77" s="197" t="s">
        <v>110</v>
      </c>
      <c r="D77" s="198"/>
      <c r="E77" s="199"/>
      <c r="F77" s="200"/>
      <c r="G77" s="200"/>
      <c r="H77" s="200"/>
      <c r="I77" s="200"/>
      <c r="J77" s="200"/>
      <c r="K77" s="200"/>
      <c r="L77" s="200"/>
      <c r="M77" s="201"/>
      <c r="N77" s="201"/>
      <c r="O77" s="201"/>
      <c r="P77" s="201"/>
      <c r="Q77" s="201"/>
      <c r="R77" s="201"/>
      <c r="S77" s="202"/>
      <c r="T77" s="203"/>
      <c r="U77" s="202"/>
      <c r="V77" s="203"/>
      <c r="W77" s="202"/>
      <c r="X77" s="203"/>
      <c r="Y77" s="204"/>
      <c r="Z77" s="205"/>
      <c r="AA77" s="209">
        <f>Q14+R15</f>
        <v>0</v>
      </c>
      <c r="AB77" s="209">
        <f>O14+P15+AA77</f>
        <v>166524.05671</v>
      </c>
      <c r="AC77" s="210">
        <f>AC75+AB77</f>
        <v>384505.74491717736</v>
      </c>
      <c r="AD77" s="207"/>
      <c r="AE77" s="207"/>
      <c r="AF77" s="207"/>
      <c r="AG77" s="207"/>
      <c r="AH77" s="207"/>
      <c r="AI77" s="207"/>
      <c r="AJ77" s="207"/>
      <c r="AK77" s="207"/>
      <c r="AL77" s="207"/>
      <c r="AM77" s="207"/>
      <c r="AN77" s="207"/>
      <c r="AO77" s="207"/>
      <c r="AP77" s="207"/>
      <c r="AQ77" s="207"/>
      <c r="AR77" s="207"/>
      <c r="AS77" s="207"/>
      <c r="AT77" s="207"/>
      <c r="AU77" s="207"/>
      <c r="AV77" s="207"/>
      <c r="AW77" s="207"/>
      <c r="AX77" s="207"/>
      <c r="AY77" s="207"/>
      <c r="AZ77" s="207"/>
      <c r="BA77" s="207"/>
      <c r="BB77" s="207"/>
      <c r="BC77" s="207"/>
      <c r="BD77" s="207"/>
      <c r="BE77" s="207"/>
      <c r="BF77" s="207"/>
      <c r="BG77" s="207"/>
      <c r="BH77" s="207"/>
      <c r="BI77" s="207"/>
      <c r="BJ77" s="207"/>
      <c r="BK77" s="207"/>
      <c r="BL77" s="207"/>
      <c r="BM77" s="207"/>
      <c r="BN77" s="207"/>
      <c r="BO77" s="207"/>
    </row>
    <row r="78" spans="1:28" s="220" customFormat="1" ht="66" customHeight="1">
      <c r="A78" s="211"/>
      <c r="B78" s="211"/>
      <c r="C78" s="212" t="s">
        <v>111</v>
      </c>
      <c r="D78" s="213"/>
      <c r="E78" s="214" t="s">
        <v>112</v>
      </c>
      <c r="F78" s="215"/>
      <c r="G78" s="215"/>
      <c r="H78" s="215"/>
      <c r="I78" s="215"/>
      <c r="J78" s="215"/>
      <c r="K78" s="215"/>
      <c r="L78" s="215"/>
      <c r="M78" s="216"/>
      <c r="N78" s="215"/>
      <c r="O78" s="215"/>
      <c r="P78" s="215"/>
      <c r="Q78" s="215"/>
      <c r="R78" s="215"/>
      <c r="S78" s="215"/>
      <c r="T78" s="217"/>
      <c r="U78" s="215"/>
      <c r="V78" s="217"/>
      <c r="W78" s="215"/>
      <c r="X78" s="217"/>
      <c r="Y78" s="146"/>
      <c r="Z78" s="218"/>
      <c r="AA78" s="219">
        <f aca="true" t="shared" si="33" ref="AA78:AA79">AB78</f>
        <v>2467.3134513551263</v>
      </c>
      <c r="AB78" s="219">
        <f>(AB75-O60)*E78</f>
        <v>2467.3134513551263</v>
      </c>
    </row>
    <row r="79" spans="1:67" s="231" customFormat="1" ht="41.25" customHeight="1">
      <c r="A79" s="221"/>
      <c r="B79" s="222"/>
      <c r="C79" s="223" t="s">
        <v>113</v>
      </c>
      <c r="D79" s="222"/>
      <c r="E79" s="224">
        <v>0.007</v>
      </c>
      <c r="F79" s="225"/>
      <c r="G79" s="225"/>
      <c r="H79" s="225"/>
      <c r="I79" s="225"/>
      <c r="J79" s="225"/>
      <c r="K79" s="225"/>
      <c r="L79" s="225"/>
      <c r="M79" s="225"/>
      <c r="N79" s="225"/>
      <c r="O79" s="225"/>
      <c r="P79" s="225"/>
      <c r="Q79" s="225"/>
      <c r="R79" s="225"/>
      <c r="S79" s="225"/>
      <c r="T79" s="226"/>
      <c r="U79" s="225"/>
      <c r="V79" s="226"/>
      <c r="W79" s="225"/>
      <c r="X79" s="226"/>
      <c r="Y79" s="225"/>
      <c r="Z79" s="227"/>
      <c r="AA79" s="228">
        <f t="shared" si="33"/>
        <v>1083.4188635023042</v>
      </c>
      <c r="AB79" s="229">
        <f>(AB66-O60-Q60)*E79</f>
        <v>1083.4188635023042</v>
      </c>
      <c r="AC79" s="230"/>
      <c r="AD79" s="230"/>
      <c r="AE79" s="230"/>
      <c r="AF79" s="230"/>
      <c r="AG79" s="230"/>
      <c r="AH79" s="230"/>
      <c r="AI79" s="230"/>
      <c r="AJ79" s="230"/>
      <c r="AK79" s="230"/>
      <c r="AL79" s="230"/>
      <c r="AM79" s="230"/>
      <c r="AN79" s="230"/>
      <c r="AO79" s="230"/>
      <c r="AP79" s="230"/>
      <c r="AQ79" s="230"/>
      <c r="AR79" s="230"/>
      <c r="AS79" s="230"/>
      <c r="AT79" s="230"/>
      <c r="AU79" s="230"/>
      <c r="AV79" s="230"/>
      <c r="AW79" s="230"/>
      <c r="AX79" s="230"/>
      <c r="AY79" s="230"/>
      <c r="AZ79" s="230"/>
      <c r="BA79" s="230"/>
      <c r="BB79" s="230"/>
      <c r="BC79" s="230"/>
      <c r="BD79" s="230"/>
      <c r="BE79" s="230"/>
      <c r="BF79" s="230"/>
      <c r="BG79" s="230"/>
      <c r="BH79" s="230"/>
      <c r="BI79" s="230"/>
      <c r="BJ79" s="230"/>
      <c r="BK79" s="230"/>
      <c r="BL79" s="230"/>
      <c r="BM79" s="230"/>
      <c r="BN79" s="230"/>
      <c r="BO79" s="230"/>
    </row>
    <row r="80" spans="1:67" s="233" customFormat="1" ht="57" customHeight="1">
      <c r="A80" s="155"/>
      <c r="B80" s="156"/>
      <c r="C80" s="157" t="s">
        <v>114</v>
      </c>
      <c r="D80" s="157"/>
      <c r="E80" s="23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82"/>
      <c r="T80" s="193"/>
      <c r="U80" s="182"/>
      <c r="V80" s="193"/>
      <c r="W80" s="182"/>
      <c r="X80" s="193"/>
      <c r="Y80" s="182"/>
      <c r="Z80" s="184"/>
      <c r="AA80" s="175">
        <f>AA75-AA76+AA77+AA78</f>
        <v>59135.711115030164</v>
      </c>
      <c r="AB80" s="175">
        <f>AB75-AB76+AB77+AB78</f>
        <v>225659.7678250302</v>
      </c>
      <c r="AC80" s="134"/>
      <c r="AD80" s="134"/>
      <c r="AE80" s="134"/>
      <c r="AF80" s="134"/>
      <c r="AG80" s="134"/>
      <c r="AH80" s="134"/>
      <c r="AI80" s="134"/>
      <c r="AJ80" s="134"/>
      <c r="AK80" s="134"/>
      <c r="AL80" s="134"/>
      <c r="AM80" s="134"/>
      <c r="AN80" s="134"/>
      <c r="AO80" s="134"/>
      <c r="AP80" s="134"/>
      <c r="AQ80" s="134"/>
      <c r="AR80" s="134"/>
      <c r="AS80" s="134"/>
      <c r="AT80" s="134"/>
      <c r="AU80" s="134"/>
      <c r="AV80" s="134"/>
      <c r="AW80" s="134"/>
      <c r="AX80" s="134"/>
      <c r="AY80" s="134"/>
      <c r="AZ80" s="134"/>
      <c r="BA80" s="134"/>
      <c r="BB80" s="134"/>
      <c r="BC80" s="134"/>
      <c r="BD80" s="134"/>
      <c r="BE80" s="134"/>
      <c r="BF80" s="134"/>
      <c r="BG80" s="134"/>
      <c r="BH80" s="134"/>
      <c r="BI80" s="134"/>
      <c r="BJ80" s="134"/>
      <c r="BK80" s="134"/>
      <c r="BL80" s="134"/>
      <c r="BM80"/>
      <c r="BN80"/>
      <c r="BO80"/>
    </row>
    <row r="81" spans="1:67" s="154" customFormat="1" ht="36" customHeight="1">
      <c r="A81" s="145"/>
      <c r="B81" s="146"/>
      <c r="C81" s="234" t="s">
        <v>115</v>
      </c>
      <c r="D81" s="235"/>
      <c r="E81" s="194">
        <v>0.2</v>
      </c>
      <c r="F81" s="236"/>
      <c r="G81" s="236"/>
      <c r="H81" s="236"/>
      <c r="I81" s="236"/>
      <c r="J81" s="236"/>
      <c r="K81" s="236"/>
      <c r="L81" s="236"/>
      <c r="M81" s="182"/>
      <c r="N81" s="182"/>
      <c r="O81" s="182"/>
      <c r="P81" s="182"/>
      <c r="Q81" s="182"/>
      <c r="R81" s="182"/>
      <c r="S81" s="182"/>
      <c r="T81" s="183"/>
      <c r="U81" s="182"/>
      <c r="V81" s="183"/>
      <c r="W81" s="182"/>
      <c r="X81" s="183"/>
      <c r="Y81" s="182"/>
      <c r="Z81" s="237"/>
      <c r="AA81" s="171">
        <f>AA80*E81</f>
        <v>11827.142223006034</v>
      </c>
      <c r="AB81" s="179">
        <f>AB80*E81</f>
        <v>45131.95356500604</v>
      </c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/>
      <c r="BN81"/>
      <c r="BO81"/>
    </row>
    <row r="82" spans="1:67" s="242" customFormat="1" ht="41.25" customHeight="1">
      <c r="A82" s="145"/>
      <c r="B82" s="146"/>
      <c r="C82" s="155" t="s">
        <v>116</v>
      </c>
      <c r="D82" s="157"/>
      <c r="E82" s="238"/>
      <c r="F82" s="192"/>
      <c r="G82" s="192"/>
      <c r="H82" s="192"/>
      <c r="I82" s="192"/>
      <c r="J82" s="239"/>
      <c r="K82" s="239"/>
      <c r="L82" s="239"/>
      <c r="M82" s="239"/>
      <c r="N82" s="239"/>
      <c r="O82" s="239"/>
      <c r="P82" s="239"/>
      <c r="Q82" s="239"/>
      <c r="R82" s="239"/>
      <c r="S82" s="225"/>
      <c r="T82" s="240"/>
      <c r="U82" s="225"/>
      <c r="V82" s="240"/>
      <c r="W82" s="225"/>
      <c r="X82" s="240"/>
      <c r="Y82" s="215"/>
      <c r="Z82" s="225"/>
      <c r="AA82" s="162">
        <f>AA81+AA80</f>
        <v>70962.85333803619</v>
      </c>
      <c r="AB82" s="162">
        <f>AB80+AB81</f>
        <v>270791.7213900362</v>
      </c>
      <c r="AC82" s="241"/>
      <c r="AD82" s="241"/>
      <c r="AE82" s="241"/>
      <c r="AF82" s="241"/>
      <c r="AG82" s="241"/>
      <c r="AH82" s="241"/>
      <c r="AI82" s="241"/>
      <c r="AJ82" s="241"/>
      <c r="AK82" s="241"/>
      <c r="AL82" s="241"/>
      <c r="AM82" s="241"/>
      <c r="AN82" s="241"/>
      <c r="AO82" s="241"/>
      <c r="AP82" s="241"/>
      <c r="AQ82" s="241"/>
      <c r="AR82" s="241"/>
      <c r="AS82" s="241"/>
      <c r="AT82" s="241"/>
      <c r="AU82" s="241"/>
      <c r="AV82" s="241"/>
      <c r="AW82" s="241"/>
      <c r="AX82" s="241"/>
      <c r="AY82" s="241"/>
      <c r="AZ82" s="241"/>
      <c r="BA82" s="241"/>
      <c r="BB82" s="241"/>
      <c r="BC82" s="241"/>
      <c r="BD82" s="241"/>
      <c r="BE82" s="241"/>
      <c r="BF82" s="241"/>
      <c r="BG82" s="241"/>
      <c r="BH82" s="241"/>
      <c r="BI82" s="241"/>
      <c r="BJ82" s="241"/>
      <c r="BK82" s="241"/>
      <c r="BL82" s="241"/>
      <c r="BM82" s="241"/>
      <c r="BN82" s="241"/>
      <c r="BO82" s="241"/>
    </row>
    <row r="83" spans="1:67" s="246" customFormat="1" ht="33.75" customHeight="1">
      <c r="A83" s="145"/>
      <c r="B83" s="222"/>
      <c r="C83" s="221" t="s">
        <v>117</v>
      </c>
      <c r="D83" s="243"/>
      <c r="E83" s="244"/>
      <c r="F83" s="239"/>
      <c r="G83" s="239"/>
      <c r="H83" s="239"/>
      <c r="I83" s="239"/>
      <c r="J83" s="192"/>
      <c r="K83" s="192"/>
      <c r="L83" s="192"/>
      <c r="M83" s="192"/>
      <c r="N83" s="192"/>
      <c r="O83" s="192"/>
      <c r="P83" s="192"/>
      <c r="Q83" s="192"/>
      <c r="R83" s="192"/>
      <c r="S83" s="182"/>
      <c r="T83" s="193"/>
      <c r="U83" s="182"/>
      <c r="V83" s="193"/>
      <c r="W83" s="182"/>
      <c r="X83" s="193"/>
      <c r="Y83" s="182"/>
      <c r="Z83" s="182"/>
      <c r="AA83" s="78">
        <f>AA82-AA84-AA85</f>
        <v>69047.76614371939</v>
      </c>
      <c r="AB83" s="78">
        <f>AB82-AB84-AB85-AB86</f>
        <v>69047.76614371943</v>
      </c>
      <c r="AC83" s="245"/>
      <c r="AD83" s="245"/>
      <c r="AE83" s="245"/>
      <c r="AF83" s="245"/>
      <c r="AG83" s="245"/>
      <c r="AH83" s="245"/>
      <c r="AI83" s="245"/>
      <c r="AJ83" s="245"/>
      <c r="AK83" s="245"/>
      <c r="AL83" s="245"/>
      <c r="AM83" s="245"/>
      <c r="AN83" s="245"/>
      <c r="AO83" s="245"/>
      <c r="AP83" s="245"/>
      <c r="AQ83" s="245"/>
      <c r="AR83" s="245"/>
      <c r="AS83" s="245"/>
      <c r="AT83" s="245"/>
      <c r="AU83" s="245"/>
      <c r="AV83" s="245"/>
      <c r="AW83" s="245"/>
      <c r="AX83" s="245"/>
      <c r="AY83" s="245"/>
      <c r="AZ83" s="245"/>
      <c r="BA83" s="245"/>
      <c r="BB83" s="245"/>
      <c r="BC83" s="245"/>
      <c r="BD83" s="245"/>
      <c r="BE83" s="245"/>
      <c r="BF83" s="245"/>
      <c r="BG83" s="245"/>
      <c r="BH83" s="245"/>
      <c r="BI83" s="245"/>
      <c r="BJ83" s="245"/>
      <c r="BK83" s="245"/>
      <c r="BL83" s="245"/>
      <c r="BM83" s="245"/>
      <c r="BN83" s="245"/>
      <c r="BO83" s="245"/>
    </row>
    <row r="84" spans="1:67" s="246" customFormat="1" ht="32.25" customHeight="1">
      <c r="A84" s="145"/>
      <c r="B84" s="222"/>
      <c r="C84" s="221" t="s">
        <v>118</v>
      </c>
      <c r="D84" s="221"/>
      <c r="E84" s="247"/>
      <c r="F84" s="239"/>
      <c r="G84" s="239"/>
      <c r="H84" s="239"/>
      <c r="I84" s="239"/>
      <c r="J84" s="239"/>
      <c r="K84" s="239"/>
      <c r="L84" s="239"/>
      <c r="M84" s="239"/>
      <c r="N84" s="239"/>
      <c r="O84" s="239"/>
      <c r="P84" s="225"/>
      <c r="Q84" s="239"/>
      <c r="R84" s="225"/>
      <c r="S84" s="225"/>
      <c r="T84" s="240"/>
      <c r="U84" s="225"/>
      <c r="V84" s="240"/>
      <c r="W84" s="225"/>
      <c r="X84" s="240"/>
      <c r="Y84" s="225"/>
      <c r="Z84" s="225"/>
      <c r="AA84" s="78">
        <f>AA77*1.2</f>
        <v>0</v>
      </c>
      <c r="AB84" s="78">
        <f>AA84</f>
        <v>0</v>
      </c>
      <c r="AC84" s="245"/>
      <c r="AD84" s="245"/>
      <c r="AE84" s="245"/>
      <c r="AF84" s="245"/>
      <c r="AG84" s="245"/>
      <c r="AH84" s="245"/>
      <c r="AI84" s="245"/>
      <c r="AJ84" s="245"/>
      <c r="AK84" s="245"/>
      <c r="AL84" s="245"/>
      <c r="AM84" s="245"/>
      <c r="AN84" s="245"/>
      <c r="AO84" s="245"/>
      <c r="AP84" s="245"/>
      <c r="AQ84" s="245"/>
      <c r="AR84" s="245"/>
      <c r="AS84" s="245"/>
      <c r="AT84" s="245"/>
      <c r="AU84" s="245"/>
      <c r="AV84" s="245"/>
      <c r="AW84" s="245"/>
      <c r="AX84" s="245"/>
      <c r="AY84" s="245"/>
      <c r="AZ84" s="245"/>
      <c r="BA84" s="245"/>
      <c r="BB84" s="245"/>
      <c r="BC84" s="245"/>
      <c r="BD84" s="245"/>
      <c r="BE84" s="245"/>
      <c r="BF84" s="245"/>
      <c r="BG84" s="245"/>
      <c r="BH84" s="245"/>
      <c r="BI84" s="245"/>
      <c r="BJ84" s="245"/>
      <c r="BK84" s="245"/>
      <c r="BL84" s="245"/>
      <c r="BM84" s="245"/>
      <c r="BN84" s="245"/>
      <c r="BO84" s="245"/>
    </row>
    <row r="85" spans="1:67" s="246" customFormat="1" ht="37.5" customHeight="1">
      <c r="A85" s="145"/>
      <c r="B85" s="222"/>
      <c r="C85" s="221" t="s">
        <v>119</v>
      </c>
      <c r="D85" s="221"/>
      <c r="E85" s="247"/>
      <c r="F85" s="239"/>
      <c r="G85" s="239"/>
      <c r="H85" s="239"/>
      <c r="I85" s="239"/>
      <c r="J85" s="192"/>
      <c r="K85" s="192"/>
      <c r="L85" s="192"/>
      <c r="M85" s="192"/>
      <c r="N85" s="192"/>
      <c r="O85" s="192"/>
      <c r="P85" s="192"/>
      <c r="Q85" s="192"/>
      <c r="R85" s="192"/>
      <c r="S85" s="182"/>
      <c r="T85" s="193"/>
      <c r="U85" s="182"/>
      <c r="V85" s="193"/>
      <c r="W85" s="182"/>
      <c r="X85" s="193"/>
      <c r="Y85" s="182"/>
      <c r="Z85" s="182"/>
      <c r="AA85" s="78">
        <f>AA73*1.015*1.2</f>
        <v>1915.0871943168</v>
      </c>
      <c r="AB85" s="78">
        <f>AB73*1.015*1.2</f>
        <v>1915.0871943168</v>
      </c>
      <c r="AC85" s="245"/>
      <c r="AD85" s="245"/>
      <c r="AE85" s="245"/>
      <c r="AF85" s="245"/>
      <c r="AG85" s="245"/>
      <c r="AH85" s="245"/>
      <c r="AI85" s="245"/>
      <c r="AJ85" s="245"/>
      <c r="AK85" s="245"/>
      <c r="AL85" s="245"/>
      <c r="AM85" s="245"/>
      <c r="AN85" s="245"/>
      <c r="AO85" s="245"/>
      <c r="AP85" s="245"/>
      <c r="AQ85" s="245"/>
      <c r="AR85" s="245"/>
      <c r="AS85" s="245"/>
      <c r="AT85" s="245"/>
      <c r="AU85" s="245"/>
      <c r="AV85" s="245"/>
      <c r="AW85" s="245"/>
      <c r="AX85" s="245"/>
      <c r="AY85" s="245"/>
      <c r="AZ85" s="245"/>
      <c r="BA85" s="245"/>
      <c r="BB85" s="245"/>
      <c r="BC85" s="245"/>
      <c r="BD85" s="245"/>
      <c r="BE85" s="245"/>
      <c r="BF85" s="245"/>
      <c r="BG85" s="245"/>
      <c r="BH85" s="245"/>
      <c r="BI85" s="245"/>
      <c r="BJ85" s="245"/>
      <c r="BK85" s="245"/>
      <c r="BL85" s="245"/>
      <c r="BM85" s="245"/>
      <c r="BN85" s="245"/>
      <c r="BO85" s="245"/>
    </row>
    <row r="86" spans="1:67" s="246" customFormat="1" ht="37.5" customHeight="1">
      <c r="A86" s="145"/>
      <c r="B86" s="222"/>
      <c r="C86" s="221" t="s">
        <v>120</v>
      </c>
      <c r="D86" s="221"/>
      <c r="E86" s="247"/>
      <c r="F86" s="239"/>
      <c r="G86" s="239"/>
      <c r="H86" s="239"/>
      <c r="I86" s="239"/>
      <c r="J86" s="239"/>
      <c r="K86" s="239"/>
      <c r="L86" s="239"/>
      <c r="M86" s="239"/>
      <c r="N86" s="239"/>
      <c r="O86" s="239"/>
      <c r="P86" s="225"/>
      <c r="Q86" s="239"/>
      <c r="R86" s="225"/>
      <c r="S86" s="225"/>
      <c r="T86" s="240"/>
      <c r="U86" s="225"/>
      <c r="V86" s="240"/>
      <c r="W86" s="225"/>
      <c r="X86" s="240"/>
      <c r="Y86" s="225"/>
      <c r="Z86" s="225"/>
      <c r="AA86" s="78">
        <v>0</v>
      </c>
      <c r="AB86" s="78">
        <f>(AB77-AA77)*1.2</f>
        <v>199828.868052</v>
      </c>
      <c r="AC86" s="245"/>
      <c r="AD86" s="245"/>
      <c r="AE86" s="245"/>
      <c r="AF86" s="245"/>
      <c r="AG86" s="245"/>
      <c r="AH86" s="245"/>
      <c r="AI86" s="245"/>
      <c r="AJ86" s="245"/>
      <c r="AK86" s="245"/>
      <c r="AL86" s="245"/>
      <c r="AM86" s="245"/>
      <c r="AN86" s="245"/>
      <c r="AO86" s="245"/>
      <c r="AP86" s="245"/>
      <c r="AQ86" s="245"/>
      <c r="AR86" s="245"/>
      <c r="AS86" s="245"/>
      <c r="AT86" s="245"/>
      <c r="AU86" s="245"/>
      <c r="AV86" s="245"/>
      <c r="AW86" s="245"/>
      <c r="AX86" s="245"/>
      <c r="AY86" s="245"/>
      <c r="AZ86" s="245"/>
      <c r="BA86" s="245"/>
      <c r="BB86" s="245"/>
      <c r="BC86" s="245"/>
      <c r="BD86" s="245"/>
      <c r="BE86" s="245"/>
      <c r="BF86" s="245"/>
      <c r="BG86" s="245"/>
      <c r="BH86" s="245"/>
      <c r="BI86" s="245"/>
      <c r="BJ86" s="245"/>
      <c r="BK86" s="245"/>
      <c r="BL86" s="245"/>
      <c r="BM86" s="245"/>
      <c r="BN86" s="245"/>
      <c r="BO86" s="245"/>
    </row>
    <row r="87" spans="1:256" s="253" customFormat="1" ht="40.5" customHeight="1">
      <c r="A87" s="248"/>
      <c r="B87" s="249"/>
      <c r="C87" s="249"/>
      <c r="D87" s="249"/>
      <c r="E87" s="249"/>
      <c r="F87" s="249"/>
      <c r="G87" s="249"/>
      <c r="H87" s="249"/>
      <c r="I87" s="249"/>
      <c r="J87" s="249"/>
      <c r="K87" s="249"/>
      <c r="L87" s="249"/>
      <c r="M87" s="249"/>
      <c r="N87" s="249"/>
      <c r="O87" s="249"/>
      <c r="P87" s="249"/>
      <c r="Q87" s="249"/>
      <c r="R87" s="249"/>
      <c r="S87" s="249"/>
      <c r="T87" s="250"/>
      <c r="U87" s="249"/>
      <c r="V87" s="250"/>
      <c r="W87" s="249"/>
      <c r="X87" s="250"/>
      <c r="Y87" s="249"/>
      <c r="Z87" s="249"/>
      <c r="AA87" s="249"/>
      <c r="AB87" s="249"/>
      <c r="AC87" s="251"/>
      <c r="AD87" s="251"/>
      <c r="AE87" s="251"/>
      <c r="AF87" s="251"/>
      <c r="AG87" s="251"/>
      <c r="AH87" s="251"/>
      <c r="AI87" s="252"/>
      <c r="AJ87" s="252"/>
      <c r="AL87" s="252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s="264" customFormat="1" ht="20.25" customHeight="1">
      <c r="A88" s="254"/>
      <c r="B88" s="255"/>
      <c r="C88" s="255"/>
      <c r="D88" s="255"/>
      <c r="E88" s="255"/>
      <c r="F88" s="255"/>
      <c r="G88" s="256" t="e">
        <f>NA()</f>
        <v>#N/A</v>
      </c>
      <c r="H88" s="257" t="s">
        <v>121</v>
      </c>
      <c r="I88" s="257"/>
      <c r="J88" s="257"/>
      <c r="K88" s="257"/>
      <c r="L88" s="257"/>
      <c r="M88" s="258"/>
      <c r="N88" s="259"/>
      <c r="O88" s="259"/>
      <c r="P88" s="259"/>
      <c r="Q88" s="259"/>
      <c r="R88" s="259"/>
      <c r="S88" s="259"/>
      <c r="T88" s="260"/>
      <c r="U88" s="259"/>
      <c r="V88" s="261"/>
      <c r="W88" s="261"/>
      <c r="X88" s="262"/>
      <c r="Y88" s="263"/>
      <c r="Z88" s="263"/>
      <c r="AA88" s="263"/>
      <c r="AB88" s="263"/>
      <c r="AC88" s="263"/>
      <c r="AD88" s="263"/>
      <c r="AE88" s="263"/>
      <c r="AF88" s="263"/>
      <c r="AG88" s="263"/>
      <c r="AH88" s="263"/>
      <c r="AI88" s="263"/>
      <c r="AJ88" s="263"/>
      <c r="AK88" s="263"/>
      <c r="AL88" s="263"/>
      <c r="AM88" s="263"/>
      <c r="AN88" s="263"/>
      <c r="AO88" s="263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64" ht="23.25">
      <c r="A89" s="265"/>
      <c r="B89" s="266" t="s">
        <v>122</v>
      </c>
      <c r="C89" s="267"/>
      <c r="D89" s="267"/>
      <c r="E89" s="255"/>
      <c r="F89" s="255"/>
      <c r="G89" s="255"/>
      <c r="H89" s="255"/>
      <c r="I89" s="255"/>
      <c r="J89" s="255"/>
      <c r="K89" s="255"/>
      <c r="L89" s="255"/>
      <c r="M89" s="255"/>
      <c r="N89" s="255"/>
      <c r="O89" s="255"/>
      <c r="P89" s="255"/>
      <c r="Q89" s="255"/>
      <c r="R89" s="255"/>
      <c r="S89" s="268"/>
      <c r="T89" s="262"/>
      <c r="U89" s="268"/>
      <c r="V89" s="262"/>
      <c r="W89" s="268"/>
      <c r="X89" s="262"/>
      <c r="Y89" s="268"/>
      <c r="Z89" s="268"/>
      <c r="AA89" s="255"/>
      <c r="AB89" s="255"/>
      <c r="AC89" s="263"/>
      <c r="AD89" s="263"/>
      <c r="AE89" s="263"/>
      <c r="AF89" s="263"/>
      <c r="AG89" s="263"/>
      <c r="AH89" s="263"/>
      <c r="AI89" s="263"/>
      <c r="AJ89" s="263"/>
      <c r="AK89" s="263"/>
      <c r="AL89" s="263"/>
      <c r="AM89" s="263"/>
      <c r="AN89" s="263"/>
      <c r="AO89" s="263"/>
      <c r="AP89" s="263"/>
      <c r="AQ89" s="263"/>
      <c r="AR89" s="263"/>
      <c r="AS89" s="263"/>
      <c r="AT89" s="263"/>
      <c r="AU89" s="263"/>
      <c r="AV89" s="263"/>
      <c r="AW89" s="263"/>
      <c r="AX89" s="263"/>
      <c r="AY89" s="263"/>
      <c r="AZ89" s="263"/>
      <c r="BA89" s="263"/>
      <c r="BB89" s="263"/>
      <c r="BC89" s="263"/>
      <c r="BD89" s="263"/>
      <c r="BE89" s="263"/>
      <c r="BF89" s="263"/>
      <c r="BG89" s="263"/>
      <c r="BH89" s="263"/>
      <c r="BI89" s="263"/>
      <c r="BJ89" s="263"/>
      <c r="BK89" s="263"/>
      <c r="BL89" s="263"/>
    </row>
    <row r="90" spans="1:64" ht="75" customHeight="1">
      <c r="A90" s="265"/>
      <c r="B90" s="269" t="s">
        <v>123</v>
      </c>
      <c r="C90" s="269"/>
      <c r="D90" s="269"/>
      <c r="E90" s="255"/>
      <c r="F90" s="255"/>
      <c r="G90" s="255"/>
      <c r="H90" s="255"/>
      <c r="I90" s="255"/>
      <c r="J90" s="255"/>
      <c r="K90" s="255"/>
      <c r="L90" s="255"/>
      <c r="M90" s="255"/>
      <c r="N90" s="255"/>
      <c r="O90" s="255"/>
      <c r="P90" s="255"/>
      <c r="Q90" s="255"/>
      <c r="R90" s="255"/>
      <c r="S90" s="255"/>
      <c r="T90" s="262"/>
      <c r="U90" s="268"/>
      <c r="V90" s="262"/>
      <c r="W90" s="268"/>
      <c r="X90" s="262"/>
      <c r="Y90" s="268"/>
      <c r="Z90" s="268"/>
      <c r="AA90" s="255"/>
      <c r="AB90" s="255"/>
      <c r="AC90" s="263"/>
      <c r="AD90" s="263"/>
      <c r="AE90" s="263"/>
      <c r="AF90" s="263"/>
      <c r="AG90" s="263"/>
      <c r="AH90" s="263"/>
      <c r="AI90" s="263"/>
      <c r="AJ90" s="263"/>
      <c r="AK90" s="263"/>
      <c r="AL90" s="263"/>
      <c r="AM90" s="263"/>
      <c r="AN90" s="263"/>
      <c r="AO90" s="263"/>
      <c r="AP90" s="263"/>
      <c r="AQ90" s="263"/>
      <c r="AR90" s="263"/>
      <c r="AS90" s="263"/>
      <c r="AT90" s="263"/>
      <c r="AU90" s="263"/>
      <c r="AV90" s="263"/>
      <c r="AW90" s="263"/>
      <c r="AX90" s="263"/>
      <c r="AY90" s="263"/>
      <c r="AZ90" s="263"/>
      <c r="BA90" s="263"/>
      <c r="BB90" s="263"/>
      <c r="BC90" s="263"/>
      <c r="BD90" s="263"/>
      <c r="BE90" s="263"/>
      <c r="BF90" s="263"/>
      <c r="BG90" s="263"/>
      <c r="BH90" s="263"/>
      <c r="BI90" s="263"/>
      <c r="BJ90" s="263"/>
      <c r="BK90" s="263"/>
      <c r="BL90" s="263"/>
    </row>
    <row r="91" spans="1:64" ht="23.25">
      <c r="A91" s="265"/>
      <c r="B91" s="270" t="s">
        <v>2</v>
      </c>
      <c r="C91" s="271" t="s">
        <v>124</v>
      </c>
      <c r="D91" s="271"/>
      <c r="E91" s="272" t="s">
        <v>125</v>
      </c>
      <c r="F91" s="271" t="s">
        <v>126</v>
      </c>
      <c r="G91" s="271"/>
      <c r="H91" s="271"/>
      <c r="I91" s="273"/>
      <c r="J91" s="255"/>
      <c r="K91" s="255"/>
      <c r="L91" s="255"/>
      <c r="M91" s="255"/>
      <c r="N91" s="255"/>
      <c r="O91" s="255"/>
      <c r="P91" s="255"/>
      <c r="Q91" s="255"/>
      <c r="R91" s="255"/>
      <c r="S91" s="255"/>
      <c r="T91" s="262"/>
      <c r="U91" s="268"/>
      <c r="V91" s="262"/>
      <c r="W91" s="268"/>
      <c r="X91" s="262"/>
      <c r="Y91" s="268"/>
      <c r="Z91" s="268"/>
      <c r="AA91" s="255"/>
      <c r="AB91" s="255"/>
      <c r="AC91" s="263"/>
      <c r="AD91" s="263"/>
      <c r="AE91" s="263"/>
      <c r="AF91" s="263"/>
      <c r="AG91" s="263"/>
      <c r="AH91" s="263"/>
      <c r="AI91" s="263"/>
      <c r="AJ91" s="263"/>
      <c r="AK91" s="263"/>
      <c r="AL91" s="263"/>
      <c r="AM91" s="263"/>
      <c r="AN91" s="263"/>
      <c r="AO91" s="263"/>
      <c r="AP91" s="263"/>
      <c r="AQ91" s="263"/>
      <c r="AR91" s="263"/>
      <c r="AS91" s="263"/>
      <c r="AT91" s="263"/>
      <c r="AU91" s="263"/>
      <c r="AV91" s="263"/>
      <c r="AW91" s="263"/>
      <c r="AX91" s="263"/>
      <c r="AY91" s="263"/>
      <c r="AZ91" s="263"/>
      <c r="BA91" s="263"/>
      <c r="BB91" s="263"/>
      <c r="BC91" s="263"/>
      <c r="BD91" s="263"/>
      <c r="BE91" s="263"/>
      <c r="BF91" s="263"/>
      <c r="BG91" s="263"/>
      <c r="BH91" s="263"/>
      <c r="BI91" s="263"/>
      <c r="BJ91" s="263"/>
      <c r="BK91" s="263"/>
      <c r="BL91" s="263"/>
    </row>
    <row r="92" spans="1:64" ht="24" customHeight="1">
      <c r="A92" s="265"/>
      <c r="B92" s="274">
        <v>1</v>
      </c>
      <c r="C92" s="275" t="s">
        <v>127</v>
      </c>
      <c r="D92" s="275"/>
      <c r="E92" s="276" t="s">
        <v>128</v>
      </c>
      <c r="F92" s="277">
        <v>315.84</v>
      </c>
      <c r="G92" s="277"/>
      <c r="H92" s="277"/>
      <c r="I92" s="277"/>
      <c r="J92" s="255"/>
      <c r="K92" s="255"/>
      <c r="L92" s="255"/>
      <c r="M92" s="255"/>
      <c r="N92" s="255"/>
      <c r="O92" s="255"/>
      <c r="P92" s="255"/>
      <c r="Q92" s="255"/>
      <c r="R92" s="255"/>
      <c r="S92" s="255"/>
      <c r="T92" s="262"/>
      <c r="U92" s="268"/>
      <c r="V92" s="262"/>
      <c r="W92" s="268"/>
      <c r="X92" s="262"/>
      <c r="Y92" s="268"/>
      <c r="Z92" s="268"/>
      <c r="AA92" s="255"/>
      <c r="AB92" s="255"/>
      <c r="AC92" s="263"/>
      <c r="AD92" s="263"/>
      <c r="AE92" s="263"/>
      <c r="AF92" s="263"/>
      <c r="AG92" s="263"/>
      <c r="AH92" s="263"/>
      <c r="AI92" s="263"/>
      <c r="AJ92" s="263"/>
      <c r="AK92" s="263"/>
      <c r="AL92" s="263"/>
      <c r="AM92" s="263"/>
      <c r="AN92" s="263"/>
      <c r="AO92" s="263"/>
      <c r="AP92" s="263"/>
      <c r="AQ92" s="263"/>
      <c r="AR92" s="263"/>
      <c r="AS92" s="263"/>
      <c r="AT92" s="263"/>
      <c r="AU92" s="263"/>
      <c r="AV92" s="263"/>
      <c r="AW92" s="263"/>
      <c r="AX92" s="263"/>
      <c r="AY92" s="263"/>
      <c r="AZ92" s="263"/>
      <c r="BA92" s="263"/>
      <c r="BB92" s="263"/>
      <c r="BC92" s="263"/>
      <c r="BD92" s="263"/>
      <c r="BE92" s="263"/>
      <c r="BF92" s="263"/>
      <c r="BG92" s="263"/>
      <c r="BH92" s="263"/>
      <c r="BI92" s="263"/>
      <c r="BJ92" s="263"/>
      <c r="BK92" s="263"/>
      <c r="BL92" s="263"/>
    </row>
    <row r="93" spans="1:64" ht="26.25" customHeight="1">
      <c r="A93" s="265"/>
      <c r="B93" s="278">
        <v>2</v>
      </c>
      <c r="C93" s="279" t="s">
        <v>129</v>
      </c>
      <c r="D93" s="279"/>
      <c r="E93" s="280"/>
      <c r="F93" s="281">
        <v>24.79</v>
      </c>
      <c r="G93" s="281"/>
      <c r="H93" s="281"/>
      <c r="I93" s="281"/>
      <c r="J93" s="255"/>
      <c r="K93" s="255"/>
      <c r="L93" s="255"/>
      <c r="M93" s="255"/>
      <c r="N93" s="255"/>
      <c r="O93" s="255"/>
      <c r="P93" s="255"/>
      <c r="Q93" s="255"/>
      <c r="R93" s="282"/>
      <c r="S93" s="255"/>
      <c r="T93" s="262"/>
      <c r="U93" s="268"/>
      <c r="V93" s="262"/>
      <c r="W93" s="268"/>
      <c r="X93" s="262"/>
      <c r="Y93" s="268"/>
      <c r="Z93" s="268"/>
      <c r="AA93" s="255"/>
      <c r="AB93" s="255"/>
      <c r="AC93" s="263"/>
      <c r="AD93" s="263"/>
      <c r="AE93" s="263"/>
      <c r="AF93" s="263"/>
      <c r="AG93" s="263"/>
      <c r="AH93" s="263"/>
      <c r="AI93" s="263"/>
      <c r="AJ93" s="263"/>
      <c r="AK93" s="263"/>
      <c r="AL93" s="263"/>
      <c r="AM93" s="263"/>
      <c r="AN93" s="263"/>
      <c r="AO93" s="263"/>
      <c r="AP93" s="263"/>
      <c r="AQ93" s="263"/>
      <c r="AR93" s="263"/>
      <c r="AS93" s="263"/>
      <c r="AT93" s="263"/>
      <c r="AU93" s="263"/>
      <c r="AV93" s="263"/>
      <c r="AW93" s="263"/>
      <c r="AX93" s="263"/>
      <c r="AY93" s="263"/>
      <c r="AZ93" s="263"/>
      <c r="BA93" s="263"/>
      <c r="BB93" s="263"/>
      <c r="BC93" s="263"/>
      <c r="BD93" s="263"/>
      <c r="BE93" s="263"/>
      <c r="BF93" s="263"/>
      <c r="BG93" s="263"/>
      <c r="BH93" s="263"/>
      <c r="BI93" s="263"/>
      <c r="BJ93" s="263"/>
      <c r="BK93" s="263"/>
      <c r="BL93" s="263"/>
    </row>
    <row r="94" spans="1:64" ht="24" customHeight="1">
      <c r="A94" s="265"/>
      <c r="B94" s="278">
        <v>3</v>
      </c>
      <c r="C94" s="279" t="s">
        <v>130</v>
      </c>
      <c r="D94" s="279"/>
      <c r="E94" s="280"/>
      <c r="F94" s="281">
        <v>9.95</v>
      </c>
      <c r="G94" s="281"/>
      <c r="H94" s="281"/>
      <c r="I94" s="281"/>
      <c r="J94" s="255"/>
      <c r="K94" s="255"/>
      <c r="L94" s="255"/>
      <c r="M94" s="255"/>
      <c r="N94" s="255"/>
      <c r="O94" s="255"/>
      <c r="P94" s="255"/>
      <c r="Q94" s="255"/>
      <c r="R94" s="255"/>
      <c r="S94" s="255"/>
      <c r="T94" s="262"/>
      <c r="U94" s="268"/>
      <c r="V94" s="262"/>
      <c r="W94" s="268"/>
      <c r="X94" s="262"/>
      <c r="Y94" s="268"/>
      <c r="Z94" s="268"/>
      <c r="AA94" s="255"/>
      <c r="AB94" s="255"/>
      <c r="AC94" s="263"/>
      <c r="AD94" s="263"/>
      <c r="AE94" s="263"/>
      <c r="AF94" s="263"/>
      <c r="AG94" s="263"/>
      <c r="AH94" s="263"/>
      <c r="AI94" s="263"/>
      <c r="AJ94" s="263"/>
      <c r="AK94" s="263"/>
      <c r="AL94" s="263"/>
      <c r="AM94" s="263"/>
      <c r="AN94" s="263"/>
      <c r="AO94" s="263"/>
      <c r="AP94" s="263"/>
      <c r="AQ94" s="263"/>
      <c r="AR94" s="263"/>
      <c r="AS94" s="263"/>
      <c r="AT94" s="263"/>
      <c r="AU94" s="263"/>
      <c r="AV94" s="263"/>
      <c r="AW94" s="263"/>
      <c r="AX94" s="263"/>
      <c r="AY94" s="263"/>
      <c r="AZ94" s="263"/>
      <c r="BA94" s="263"/>
      <c r="BB94" s="263"/>
      <c r="BC94" s="263"/>
      <c r="BD94" s="263"/>
      <c r="BE94" s="263"/>
      <c r="BF94" s="263"/>
      <c r="BG94" s="263"/>
      <c r="BH94" s="263"/>
      <c r="BI94" s="263"/>
      <c r="BJ94" s="263"/>
      <c r="BK94" s="263"/>
      <c r="BL94" s="263"/>
    </row>
    <row r="95" spans="1:64" ht="41.25" customHeight="1">
      <c r="A95" s="265"/>
      <c r="B95" s="274">
        <v>4</v>
      </c>
      <c r="C95" s="283" t="s">
        <v>131</v>
      </c>
      <c r="D95" s="283"/>
      <c r="E95" s="280"/>
      <c r="F95" s="277">
        <v>7.88</v>
      </c>
      <c r="G95" s="277"/>
      <c r="H95" s="277"/>
      <c r="I95" s="277"/>
      <c r="J95" s="255"/>
      <c r="K95" s="255"/>
      <c r="L95" s="255"/>
      <c r="M95" s="255"/>
      <c r="N95" s="255"/>
      <c r="O95" s="255"/>
      <c r="P95" s="255"/>
      <c r="Q95" s="255"/>
      <c r="R95" s="255"/>
      <c r="S95" s="255"/>
      <c r="T95" s="262"/>
      <c r="U95" s="268"/>
      <c r="V95" s="262"/>
      <c r="W95" s="268"/>
      <c r="X95" s="262"/>
      <c r="Y95" s="268"/>
      <c r="Z95" s="268"/>
      <c r="AA95" s="255"/>
      <c r="AB95" s="255"/>
      <c r="AC95" s="263"/>
      <c r="AD95" s="263"/>
      <c r="AE95" s="263"/>
      <c r="AF95" s="263"/>
      <c r="AG95" s="263"/>
      <c r="AH95" s="263"/>
      <c r="AI95" s="263"/>
      <c r="AJ95" s="263"/>
      <c r="AK95" s="263"/>
      <c r="AL95" s="263"/>
      <c r="AM95" s="263"/>
      <c r="AN95" s="263"/>
      <c r="AO95" s="263"/>
      <c r="AP95" s="263"/>
      <c r="AQ95" s="263"/>
      <c r="AR95" s="263"/>
      <c r="AS95" s="263"/>
      <c r="AT95" s="263"/>
      <c r="AU95" s="263"/>
      <c r="AV95" s="263"/>
      <c r="AW95" s="263"/>
      <c r="AX95" s="263"/>
      <c r="AY95" s="263"/>
      <c r="AZ95" s="263"/>
      <c r="BA95" s="263"/>
      <c r="BB95" s="263"/>
      <c r="BC95" s="263"/>
      <c r="BD95" s="263"/>
      <c r="BE95" s="263"/>
      <c r="BF95" s="263"/>
      <c r="BG95" s="263"/>
      <c r="BH95" s="263"/>
      <c r="BI95" s="263"/>
      <c r="BJ95" s="263"/>
      <c r="BK95" s="263"/>
      <c r="BL95" s="263"/>
    </row>
    <row r="96" spans="1:64" ht="41.25">
      <c r="A96" s="265"/>
      <c r="B96" s="274">
        <v>4</v>
      </c>
      <c r="C96" s="279" t="s">
        <v>132</v>
      </c>
      <c r="D96" s="284"/>
      <c r="E96" s="280"/>
      <c r="F96" s="281">
        <v>12.53</v>
      </c>
      <c r="G96" s="281"/>
      <c r="H96" s="281"/>
      <c r="I96" s="281"/>
      <c r="J96" s="255"/>
      <c r="K96" s="255"/>
      <c r="L96" s="255"/>
      <c r="M96" s="255"/>
      <c r="N96" s="255"/>
      <c r="O96" s="255"/>
      <c r="P96" s="255"/>
      <c r="Q96" s="255"/>
      <c r="R96" s="255"/>
      <c r="S96" s="255"/>
      <c r="T96" s="262"/>
      <c r="U96" s="268"/>
      <c r="V96" s="262"/>
      <c r="W96" s="268"/>
      <c r="X96" s="262"/>
      <c r="Y96" s="268"/>
      <c r="Z96" s="268"/>
      <c r="AA96" s="255"/>
      <c r="AB96" s="255"/>
      <c r="AC96" s="263"/>
      <c r="AD96" s="263"/>
      <c r="AE96" s="263"/>
      <c r="AF96" s="263"/>
      <c r="AG96" s="263"/>
      <c r="AH96" s="263"/>
      <c r="AI96" s="263"/>
      <c r="AJ96" s="263"/>
      <c r="AK96" s="263"/>
      <c r="AL96" s="263"/>
      <c r="AM96" s="263"/>
      <c r="AN96" s="263"/>
      <c r="AO96" s="263"/>
      <c r="AP96" s="263"/>
      <c r="AQ96" s="263"/>
      <c r="AR96" s="263"/>
      <c r="AS96" s="263"/>
      <c r="AT96" s="263"/>
      <c r="AU96" s="263"/>
      <c r="AV96" s="263"/>
      <c r="AW96" s="263"/>
      <c r="AX96" s="263"/>
      <c r="AY96" s="263"/>
      <c r="AZ96" s="263"/>
      <c r="BA96" s="263"/>
      <c r="BB96" s="263"/>
      <c r="BC96" s="263"/>
      <c r="BD96" s="263"/>
      <c r="BE96" s="263"/>
      <c r="BF96" s="263"/>
      <c r="BG96" s="263"/>
      <c r="BH96" s="263"/>
      <c r="BI96" s="263"/>
      <c r="BJ96" s="263"/>
      <c r="BK96" s="263"/>
      <c r="BL96" s="263"/>
    </row>
    <row r="97" spans="1:64" ht="24" customHeight="1">
      <c r="A97" s="265"/>
      <c r="B97" s="278">
        <v>5</v>
      </c>
      <c r="C97" s="285" t="s">
        <v>133</v>
      </c>
      <c r="D97" s="285"/>
      <c r="E97" s="280"/>
      <c r="F97" s="281">
        <v>8.04</v>
      </c>
      <c r="G97" s="281"/>
      <c r="H97" s="281"/>
      <c r="I97" s="281"/>
      <c r="J97" s="255"/>
      <c r="K97" s="255"/>
      <c r="L97" s="255"/>
      <c r="M97" s="255"/>
      <c r="N97" s="255"/>
      <c r="O97" s="255"/>
      <c r="P97" s="255"/>
      <c r="Q97" s="255"/>
      <c r="R97" s="255"/>
      <c r="S97" s="255"/>
      <c r="T97" s="262"/>
      <c r="U97" s="268"/>
      <c r="V97" s="262"/>
      <c r="W97" s="268"/>
      <c r="X97" s="262"/>
      <c r="Y97" s="268"/>
      <c r="Z97" s="268"/>
      <c r="AA97" s="255"/>
      <c r="AB97" s="255"/>
      <c r="AC97" s="263"/>
      <c r="AD97" s="263"/>
      <c r="AE97" s="263"/>
      <c r="AF97" s="263"/>
      <c r="AG97" s="263"/>
      <c r="AH97" s="263"/>
      <c r="AI97" s="263"/>
      <c r="AJ97" s="263"/>
      <c r="AK97" s="263"/>
      <c r="AL97" s="263"/>
      <c r="AM97" s="263"/>
      <c r="AN97" s="263"/>
      <c r="AO97" s="263"/>
      <c r="AP97" s="263"/>
      <c r="AQ97" s="263"/>
      <c r="AR97" s="263"/>
      <c r="AS97" s="263"/>
      <c r="AT97" s="263"/>
      <c r="AU97" s="263"/>
      <c r="AV97" s="263"/>
      <c r="AW97" s="263"/>
      <c r="AX97" s="263"/>
      <c r="AY97" s="263"/>
      <c r="AZ97" s="263"/>
      <c r="BA97" s="263"/>
      <c r="BB97" s="263"/>
      <c r="BC97" s="263"/>
      <c r="BD97" s="263"/>
      <c r="BE97" s="263"/>
      <c r="BF97" s="263"/>
      <c r="BG97" s="263"/>
      <c r="BH97" s="263"/>
      <c r="BI97" s="263"/>
      <c r="BJ97" s="263"/>
      <c r="BK97" s="263"/>
      <c r="BL97" s="263"/>
    </row>
    <row r="98" spans="1:64" ht="41.25">
      <c r="A98" s="265"/>
      <c r="B98" s="278">
        <v>6</v>
      </c>
      <c r="C98" s="286" t="s">
        <v>134</v>
      </c>
      <c r="D98" s="287"/>
      <c r="E98" s="280"/>
      <c r="F98" s="281">
        <v>5.12</v>
      </c>
      <c r="G98" s="281"/>
      <c r="H98" s="281"/>
      <c r="I98" s="281"/>
      <c r="J98" s="255"/>
      <c r="K98" s="255"/>
      <c r="L98" s="255"/>
      <c r="M98" s="255"/>
      <c r="N98" s="255"/>
      <c r="O98" s="255"/>
      <c r="P98" s="255"/>
      <c r="Q98" s="255"/>
      <c r="R98" s="255"/>
      <c r="S98" s="255"/>
      <c r="T98" s="262"/>
      <c r="U98" s="268"/>
      <c r="V98" s="262"/>
      <c r="W98" s="268"/>
      <c r="X98" s="262"/>
      <c r="Y98" s="268"/>
      <c r="Z98" s="268"/>
      <c r="AA98" s="255"/>
      <c r="AB98" s="255"/>
      <c r="AC98" s="263"/>
      <c r="AD98" s="263"/>
      <c r="AE98" s="263"/>
      <c r="AF98" s="263"/>
      <c r="AG98" s="263"/>
      <c r="AH98" s="263"/>
      <c r="AI98" s="263"/>
      <c r="AJ98" s="263"/>
      <c r="AK98" s="263"/>
      <c r="AL98" s="263"/>
      <c r="AM98" s="263"/>
      <c r="AN98" s="263"/>
      <c r="AO98" s="263"/>
      <c r="AP98" s="263"/>
      <c r="AQ98" s="263"/>
      <c r="AR98" s="263"/>
      <c r="AS98" s="263"/>
      <c r="AT98" s="263"/>
      <c r="AU98" s="263"/>
      <c r="AV98" s="263"/>
      <c r="AW98" s="263"/>
      <c r="AX98" s="263"/>
      <c r="AY98" s="263"/>
      <c r="AZ98" s="263"/>
      <c r="BA98" s="263"/>
      <c r="BB98" s="263"/>
      <c r="BC98" s="263"/>
      <c r="BD98" s="263"/>
      <c r="BE98" s="263"/>
      <c r="BF98" s="263"/>
      <c r="BG98" s="263"/>
      <c r="BH98" s="263"/>
      <c r="BI98" s="263"/>
      <c r="BJ98" s="263"/>
      <c r="BK98" s="263"/>
      <c r="BL98" s="263"/>
    </row>
    <row r="99" spans="1:64" ht="24" customHeight="1">
      <c r="A99" s="265"/>
      <c r="B99" s="274">
        <v>7</v>
      </c>
      <c r="C99" s="279" t="s">
        <v>135</v>
      </c>
      <c r="D99" s="279"/>
      <c r="E99" s="280"/>
      <c r="F99" s="288">
        <v>0</v>
      </c>
      <c r="G99" s="288"/>
      <c r="H99" s="288"/>
      <c r="I99" s="288"/>
      <c r="J99" s="255"/>
      <c r="K99" s="255"/>
      <c r="L99" s="255"/>
      <c r="M99" s="255"/>
      <c r="N99" s="255"/>
      <c r="O99" s="255"/>
      <c r="P99" s="255"/>
      <c r="Q99" s="255"/>
      <c r="R99" s="255"/>
      <c r="S99" s="255"/>
      <c r="T99" s="262"/>
      <c r="U99" s="268"/>
      <c r="V99" s="262"/>
      <c r="W99" s="268"/>
      <c r="X99" s="262"/>
      <c r="Y99" s="268"/>
      <c r="Z99" s="268"/>
      <c r="AA99" s="255"/>
      <c r="AB99" s="255"/>
      <c r="AC99" s="263"/>
      <c r="AD99" s="263"/>
      <c r="AE99" s="263"/>
      <c r="AF99" s="263"/>
      <c r="AG99" s="263"/>
      <c r="AH99" s="263"/>
      <c r="AI99" s="263"/>
      <c r="AJ99" s="263"/>
      <c r="AK99" s="263"/>
      <c r="AL99" s="263"/>
      <c r="AM99" s="263"/>
      <c r="AN99" s="263"/>
      <c r="AO99" s="263"/>
      <c r="AP99" s="263"/>
      <c r="AQ99" s="263"/>
      <c r="AR99" s="263"/>
      <c r="AS99" s="263"/>
      <c r="AT99" s="263"/>
      <c r="AU99" s="263"/>
      <c r="AV99" s="263"/>
      <c r="AW99" s="263"/>
      <c r="AX99" s="263"/>
      <c r="AY99" s="263"/>
      <c r="AZ99" s="263"/>
      <c r="BA99" s="263"/>
      <c r="BB99" s="263"/>
      <c r="BC99" s="263"/>
      <c r="BD99" s="263"/>
      <c r="BE99" s="263"/>
      <c r="BF99" s="263"/>
      <c r="BG99" s="263"/>
      <c r="BH99" s="263"/>
      <c r="BI99" s="263"/>
      <c r="BJ99" s="263"/>
      <c r="BK99" s="263"/>
      <c r="BL99" s="263"/>
    </row>
    <row r="100" spans="1:64" ht="24" customHeight="1">
      <c r="A100" s="265"/>
      <c r="B100" s="274">
        <v>8</v>
      </c>
      <c r="C100" s="279" t="s">
        <v>136</v>
      </c>
      <c r="D100" s="279"/>
      <c r="E100" s="280"/>
      <c r="F100" s="281">
        <v>1</v>
      </c>
      <c r="G100" s="281"/>
      <c r="H100" s="281"/>
      <c r="I100" s="281"/>
      <c r="J100" s="255"/>
      <c r="K100" s="255"/>
      <c r="L100" s="255"/>
      <c r="M100" s="255"/>
      <c r="N100" s="255"/>
      <c r="O100" s="255"/>
      <c r="P100" s="255"/>
      <c r="Q100" s="255"/>
      <c r="R100" s="255"/>
      <c r="S100" s="255"/>
      <c r="T100" s="262"/>
      <c r="U100" s="268"/>
      <c r="V100" s="262"/>
      <c r="W100" s="268"/>
      <c r="X100" s="262"/>
      <c r="Y100" s="268"/>
      <c r="Z100" s="268"/>
      <c r="AA100" s="255"/>
      <c r="AB100" s="255"/>
      <c r="AC100" s="263"/>
      <c r="AD100" s="263"/>
      <c r="AE100" s="263"/>
      <c r="AF100" s="263"/>
      <c r="AG100" s="263"/>
      <c r="AH100" s="263"/>
      <c r="AI100" s="263"/>
      <c r="AJ100" s="263"/>
      <c r="AK100" s="263"/>
      <c r="AL100" s="263"/>
      <c r="AM100" s="263"/>
      <c r="AN100" s="263"/>
      <c r="AO100" s="263"/>
      <c r="AP100" s="263"/>
      <c r="AQ100" s="263"/>
      <c r="AR100" s="263"/>
      <c r="AS100" s="263"/>
      <c r="AT100" s="263"/>
      <c r="AU100" s="263"/>
      <c r="AV100" s="263"/>
      <c r="AW100" s="263"/>
      <c r="AX100" s="263"/>
      <c r="AY100" s="263"/>
      <c r="AZ100" s="263"/>
      <c r="BA100" s="263"/>
      <c r="BB100" s="263"/>
      <c r="BC100" s="263"/>
      <c r="BD100" s="263"/>
      <c r="BE100" s="263"/>
      <c r="BF100" s="263"/>
      <c r="BG100" s="263"/>
      <c r="BH100" s="263"/>
      <c r="BI100" s="263"/>
      <c r="BJ100" s="263"/>
      <c r="BK100" s="263"/>
      <c r="BL100" s="263"/>
    </row>
    <row r="101" spans="1:64" ht="24" customHeight="1">
      <c r="A101" s="265"/>
      <c r="B101" s="274">
        <v>9</v>
      </c>
      <c r="C101" s="279" t="s">
        <v>137</v>
      </c>
      <c r="D101" s="279"/>
      <c r="E101" s="280"/>
      <c r="F101" s="281">
        <v>1</v>
      </c>
      <c r="G101" s="281"/>
      <c r="H101" s="281"/>
      <c r="I101" s="281"/>
      <c r="J101" s="255"/>
      <c r="K101" s="255"/>
      <c r="L101" s="255"/>
      <c r="M101" s="255"/>
      <c r="N101" s="255"/>
      <c r="O101" s="255"/>
      <c r="P101" s="255"/>
      <c r="Q101" s="255"/>
      <c r="R101" s="255"/>
      <c r="S101" s="255"/>
      <c r="T101" s="262"/>
      <c r="U101" s="268"/>
      <c r="V101" s="262"/>
      <c r="W101" s="268"/>
      <c r="X101" s="262"/>
      <c r="Y101" s="268"/>
      <c r="Z101" s="268"/>
      <c r="AA101" s="255"/>
      <c r="AB101" s="255"/>
      <c r="AC101" s="263"/>
      <c r="AD101" s="263"/>
      <c r="AE101" s="263"/>
      <c r="AF101" s="263"/>
      <c r="AG101" s="263"/>
      <c r="AH101" s="263"/>
      <c r="AI101" s="263"/>
      <c r="AJ101" s="263"/>
      <c r="AK101" s="263"/>
      <c r="AL101" s="263"/>
      <c r="AM101" s="263"/>
      <c r="AN101" s="263"/>
      <c r="AO101" s="263"/>
      <c r="AP101" s="263"/>
      <c r="AQ101" s="263"/>
      <c r="AR101" s="263"/>
      <c r="AS101" s="263"/>
      <c r="AT101" s="263"/>
      <c r="AU101" s="263"/>
      <c r="AV101" s="263"/>
      <c r="AW101" s="263"/>
      <c r="AX101" s="263"/>
      <c r="AY101" s="263"/>
      <c r="AZ101" s="263"/>
      <c r="BA101" s="263"/>
      <c r="BB101" s="263"/>
      <c r="BC101" s="263"/>
      <c r="BD101" s="263"/>
      <c r="BE101" s="263"/>
      <c r="BF101" s="263"/>
      <c r="BG101" s="263"/>
      <c r="BH101" s="263"/>
      <c r="BI101" s="263"/>
      <c r="BJ101" s="263"/>
      <c r="BK101" s="263"/>
      <c r="BL101" s="263"/>
    </row>
    <row r="102" spans="1:64" ht="24" customHeight="1">
      <c r="A102" s="265"/>
      <c r="B102" s="278">
        <v>10</v>
      </c>
      <c r="C102" s="279" t="s">
        <v>138</v>
      </c>
      <c r="D102" s="279"/>
      <c r="E102" s="280"/>
      <c r="F102" s="289">
        <v>3</v>
      </c>
      <c r="G102" s="290" t="s">
        <v>139</v>
      </c>
      <c r="H102" s="290">
        <v>2021</v>
      </c>
      <c r="I102" s="291" t="s">
        <v>140</v>
      </c>
      <c r="J102" s="255"/>
      <c r="K102" s="255"/>
      <c r="L102" s="255"/>
      <c r="M102" s="255"/>
      <c r="N102" s="255"/>
      <c r="O102" s="255"/>
      <c r="P102" s="255"/>
      <c r="Q102" s="255"/>
      <c r="R102" s="255"/>
      <c r="S102" s="255"/>
      <c r="T102" s="262"/>
      <c r="U102" s="268"/>
      <c r="V102" s="262"/>
      <c r="W102" s="268"/>
      <c r="X102" s="262"/>
      <c r="Y102" s="268"/>
      <c r="Z102" s="268"/>
      <c r="AA102" s="255"/>
      <c r="AB102" s="255"/>
      <c r="AC102" s="263"/>
      <c r="AD102" s="263"/>
      <c r="AE102" s="263"/>
      <c r="AF102" s="263"/>
      <c r="AG102" s="263"/>
      <c r="AH102" s="263"/>
      <c r="AI102" s="263"/>
      <c r="AJ102" s="263"/>
      <c r="AK102" s="263"/>
      <c r="AL102" s="263"/>
      <c r="AM102" s="263"/>
      <c r="AN102" s="263"/>
      <c r="AO102" s="263"/>
      <c r="AP102" s="263"/>
      <c r="AQ102" s="263"/>
      <c r="AR102" s="263"/>
      <c r="AS102" s="263"/>
      <c r="AT102" s="263"/>
      <c r="AU102" s="263"/>
      <c r="AV102" s="263"/>
      <c r="AW102" s="263"/>
      <c r="AX102" s="263"/>
      <c r="AY102" s="263"/>
      <c r="AZ102" s="263"/>
      <c r="BA102" s="263"/>
      <c r="BB102" s="263"/>
      <c r="BC102" s="263"/>
      <c r="BD102" s="263"/>
      <c r="BE102" s="263"/>
      <c r="BF102" s="263"/>
      <c r="BG102" s="263"/>
      <c r="BH102" s="263"/>
      <c r="BI102" s="263"/>
      <c r="BJ102" s="263"/>
      <c r="BK102" s="263"/>
      <c r="BL102" s="263"/>
    </row>
    <row r="103" spans="1:64" ht="60.75" customHeight="1">
      <c r="A103" s="265"/>
      <c r="B103" s="274">
        <v>11</v>
      </c>
      <c r="C103" s="279" t="s">
        <v>141</v>
      </c>
      <c r="D103" s="279"/>
      <c r="E103" s="280" t="s">
        <v>142</v>
      </c>
      <c r="F103" s="292">
        <f>Y60/(S60+W60)</f>
        <v>1.1036006644340477</v>
      </c>
      <c r="G103" s="292"/>
      <c r="H103" s="292"/>
      <c r="I103" s="292"/>
      <c r="J103" s="255"/>
      <c r="K103" s="255"/>
      <c r="L103" s="255"/>
      <c r="M103" s="255"/>
      <c r="N103" s="255"/>
      <c r="O103" s="255"/>
      <c r="P103" s="255"/>
      <c r="Q103" s="255"/>
      <c r="R103" s="255"/>
      <c r="S103" s="268"/>
      <c r="T103" s="262"/>
      <c r="U103" s="268"/>
      <c r="V103" s="262"/>
      <c r="W103" s="268"/>
      <c r="X103" s="262"/>
      <c r="Y103" s="268"/>
      <c r="Z103" s="268"/>
      <c r="AA103" s="255"/>
      <c r="AB103" s="255"/>
      <c r="AC103" s="263"/>
      <c r="AD103" s="263"/>
      <c r="AE103" s="263"/>
      <c r="AF103" s="263"/>
      <c r="AG103" s="263"/>
      <c r="AH103" s="263"/>
      <c r="AI103" s="263"/>
      <c r="AJ103" s="263"/>
      <c r="AK103" s="263"/>
      <c r="AL103" s="263"/>
      <c r="AM103" s="263"/>
      <c r="AN103" s="263"/>
      <c r="AO103" s="263"/>
      <c r="AP103" s="263"/>
      <c r="AQ103" s="263"/>
      <c r="AR103" s="263"/>
      <c r="AS103" s="263"/>
      <c r="AT103" s="263"/>
      <c r="AU103" s="263"/>
      <c r="AV103" s="263"/>
      <c r="AW103" s="263"/>
      <c r="AX103" s="263"/>
      <c r="AY103" s="263"/>
      <c r="AZ103" s="263"/>
      <c r="BA103" s="263"/>
      <c r="BB103" s="263"/>
      <c r="BC103" s="263"/>
      <c r="BD103" s="263"/>
      <c r="BE103" s="263"/>
      <c r="BF103" s="263"/>
      <c r="BG103" s="263"/>
      <c r="BH103" s="263"/>
      <c r="BI103" s="263"/>
      <c r="BJ103" s="263"/>
      <c r="BK103" s="263"/>
      <c r="BL103" s="263"/>
    </row>
    <row r="104" spans="1:64" ht="41.25" customHeight="1">
      <c r="A104" s="265"/>
      <c r="B104" s="278">
        <v>12</v>
      </c>
      <c r="C104" s="279" t="s">
        <v>143</v>
      </c>
      <c r="D104" s="279"/>
      <c r="E104" s="280" t="s">
        <v>142</v>
      </c>
      <c r="F104" s="292">
        <f>Z60/(S60+W60)</f>
        <v>0.720556906059153</v>
      </c>
      <c r="G104" s="292"/>
      <c r="H104" s="292"/>
      <c r="I104" s="292"/>
      <c r="J104" s="255"/>
      <c r="K104" s="255"/>
      <c r="L104" s="255"/>
      <c r="M104" s="255"/>
      <c r="N104" s="255"/>
      <c r="O104" s="255"/>
      <c r="P104" s="255"/>
      <c r="Q104" s="255"/>
      <c r="R104" s="255"/>
      <c r="S104" s="268"/>
      <c r="T104" s="262"/>
      <c r="U104" s="268"/>
      <c r="V104" s="262"/>
      <c r="W104" s="268"/>
      <c r="X104" s="262"/>
      <c r="Y104" s="268"/>
      <c r="Z104" s="268"/>
      <c r="AA104" s="255"/>
      <c r="AB104" s="255"/>
      <c r="AC104" s="263"/>
      <c r="AD104" s="263"/>
      <c r="AE104" s="263"/>
      <c r="AF104" s="263"/>
      <c r="AG104" s="263"/>
      <c r="AH104" s="263"/>
      <c r="AI104" s="263"/>
      <c r="AJ104" s="263"/>
      <c r="AK104" s="263"/>
      <c r="AL104" s="263"/>
      <c r="AM104" s="263"/>
      <c r="AN104" s="263"/>
      <c r="AO104" s="263"/>
      <c r="AP104" s="263"/>
      <c r="AQ104" s="263"/>
      <c r="AR104" s="263"/>
      <c r="AS104" s="263"/>
      <c r="AT104" s="263"/>
      <c r="AU104" s="263"/>
      <c r="AV104" s="263"/>
      <c r="AW104" s="263"/>
      <c r="AX104" s="263"/>
      <c r="AY104" s="263"/>
      <c r="AZ104" s="263"/>
      <c r="BA104" s="263"/>
      <c r="BB104" s="263"/>
      <c r="BC104" s="263"/>
      <c r="BD104" s="263"/>
      <c r="BE104" s="263"/>
      <c r="BF104" s="263"/>
      <c r="BG104" s="263"/>
      <c r="BH104" s="263"/>
      <c r="BI104" s="263"/>
      <c r="BJ104" s="263"/>
      <c r="BK104" s="263"/>
      <c r="BL104" s="263"/>
    </row>
    <row r="105" spans="1:64" ht="24" customHeight="1">
      <c r="A105" s="265"/>
      <c r="B105" s="274">
        <v>13</v>
      </c>
      <c r="C105" s="279" t="s">
        <v>144</v>
      </c>
      <c r="D105" s="279"/>
      <c r="E105" s="280" t="s">
        <v>142</v>
      </c>
      <c r="F105" s="292" t="s">
        <v>145</v>
      </c>
      <c r="G105" s="292"/>
      <c r="H105" s="292"/>
      <c r="I105" s="292"/>
      <c r="J105" s="255"/>
      <c r="K105" s="255"/>
      <c r="L105" s="255"/>
      <c r="M105" s="255"/>
      <c r="N105" s="255"/>
      <c r="O105" s="255"/>
      <c r="P105" s="255"/>
      <c r="Q105" s="255"/>
      <c r="R105" s="255"/>
      <c r="S105" s="268"/>
      <c r="T105" s="262"/>
      <c r="U105" s="268"/>
      <c r="V105" s="262"/>
      <c r="W105" s="268"/>
      <c r="X105" s="262"/>
      <c r="Y105" s="268"/>
      <c r="Z105" s="268"/>
      <c r="AA105" s="255"/>
      <c r="AB105" s="255"/>
      <c r="AC105" s="263"/>
      <c r="AD105" s="263"/>
      <c r="AE105" s="263"/>
      <c r="AF105" s="263"/>
      <c r="AG105" s="263"/>
      <c r="AH105" s="263"/>
      <c r="AI105" s="263"/>
      <c r="AJ105" s="263"/>
      <c r="AK105" s="263"/>
      <c r="AL105" s="263"/>
      <c r="AM105" s="263"/>
      <c r="AN105" s="263"/>
      <c r="AO105" s="263"/>
      <c r="AP105" s="263"/>
      <c r="AQ105" s="263"/>
      <c r="AR105" s="263"/>
      <c r="AS105" s="263"/>
      <c r="AT105" s="263"/>
      <c r="AU105" s="263"/>
      <c r="AV105" s="263"/>
      <c r="AW105" s="263"/>
      <c r="AX105" s="263"/>
      <c r="AY105" s="263"/>
      <c r="AZ105" s="263"/>
      <c r="BA105" s="263"/>
      <c r="BB105" s="263"/>
      <c r="BC105" s="263"/>
      <c r="BD105" s="263"/>
      <c r="BE105" s="263"/>
      <c r="BF105" s="263"/>
      <c r="BG105" s="263"/>
      <c r="BH105" s="263"/>
      <c r="BI105" s="263"/>
      <c r="BJ105" s="263"/>
      <c r="BK105" s="263"/>
      <c r="BL105" s="263"/>
    </row>
    <row r="106" spans="1:64" ht="24" customHeight="1">
      <c r="A106" s="265"/>
      <c r="B106" s="278">
        <v>14</v>
      </c>
      <c r="C106" s="279" t="s">
        <v>146</v>
      </c>
      <c r="D106" s="279"/>
      <c r="E106" s="280" t="s">
        <v>142</v>
      </c>
      <c r="F106" s="292" t="s">
        <v>145</v>
      </c>
      <c r="G106" s="292"/>
      <c r="H106" s="292"/>
      <c r="I106" s="292"/>
      <c r="J106" s="255"/>
      <c r="K106" s="255"/>
      <c r="L106" s="255"/>
      <c r="M106" s="255"/>
      <c r="N106" s="255"/>
      <c r="O106" s="255"/>
      <c r="P106" s="255"/>
      <c r="Q106" s="255"/>
      <c r="R106" s="255"/>
      <c r="S106" s="268"/>
      <c r="T106" s="262"/>
      <c r="U106" s="268"/>
      <c r="V106" s="262"/>
      <c r="W106" s="268"/>
      <c r="X106" s="262"/>
      <c r="Y106" s="268"/>
      <c r="Z106" s="268"/>
      <c r="AA106" s="255"/>
      <c r="AB106" s="255"/>
      <c r="AC106" s="263"/>
      <c r="AD106" s="263"/>
      <c r="AE106" s="263"/>
      <c r="AF106" s="263"/>
      <c r="AG106" s="263"/>
      <c r="AH106" s="263"/>
      <c r="AI106" s="263"/>
      <c r="AJ106" s="263"/>
      <c r="AK106" s="263"/>
      <c r="AL106" s="263"/>
      <c r="AM106" s="263"/>
      <c r="AN106" s="263"/>
      <c r="AO106" s="263"/>
      <c r="AP106" s="263"/>
      <c r="AQ106" s="263"/>
      <c r="AR106" s="263"/>
      <c r="AS106" s="263"/>
      <c r="AT106" s="263"/>
      <c r="AU106" s="263"/>
      <c r="AV106" s="263"/>
      <c r="AW106" s="263"/>
      <c r="AX106" s="263"/>
      <c r="AY106" s="263"/>
      <c r="AZ106" s="263"/>
      <c r="BA106" s="263"/>
      <c r="BB106" s="263"/>
      <c r="BC106" s="263"/>
      <c r="BD106" s="263"/>
      <c r="BE106" s="263"/>
      <c r="BF106" s="263"/>
      <c r="BG106" s="263"/>
      <c r="BH106" s="263"/>
      <c r="BI106" s="263"/>
      <c r="BJ106" s="263"/>
      <c r="BK106" s="263"/>
      <c r="BL106" s="263"/>
    </row>
    <row r="107" spans="1:64" ht="23.25">
      <c r="A107" s="265"/>
      <c r="B107" s="293"/>
      <c r="C107" s="267"/>
      <c r="D107" s="267"/>
      <c r="E107" s="255"/>
      <c r="F107" s="255"/>
      <c r="G107" s="255"/>
      <c r="H107" s="255"/>
      <c r="I107" s="255"/>
      <c r="J107" s="255"/>
      <c r="K107" s="255"/>
      <c r="L107" s="255"/>
      <c r="M107" s="255"/>
      <c r="N107" s="255"/>
      <c r="O107" s="255"/>
      <c r="P107" s="255"/>
      <c r="Q107" s="255"/>
      <c r="R107" s="255"/>
      <c r="S107" s="268"/>
      <c r="T107" s="262"/>
      <c r="U107" s="268"/>
      <c r="V107" s="262"/>
      <c r="W107" s="268"/>
      <c r="X107" s="262"/>
      <c r="Y107" s="268"/>
      <c r="Z107" s="268"/>
      <c r="AA107" s="255"/>
      <c r="AB107" s="255"/>
      <c r="AC107" s="263"/>
      <c r="AD107" s="263"/>
      <c r="AE107" s="263"/>
      <c r="AF107" s="263"/>
      <c r="AG107" s="263"/>
      <c r="AH107" s="263"/>
      <c r="AI107" s="263"/>
      <c r="AJ107" s="263"/>
      <c r="AK107" s="263"/>
      <c r="AL107" s="263"/>
      <c r="AM107" s="263"/>
      <c r="AN107" s="263"/>
      <c r="AO107" s="263"/>
      <c r="AP107" s="263"/>
      <c r="AQ107" s="263"/>
      <c r="AR107" s="263"/>
      <c r="AS107" s="263"/>
      <c r="AT107" s="263"/>
      <c r="AU107" s="263"/>
      <c r="AV107" s="263"/>
      <c r="AW107" s="263"/>
      <c r="AX107" s="263"/>
      <c r="AY107" s="263"/>
      <c r="AZ107" s="263"/>
      <c r="BA107" s="263"/>
      <c r="BB107" s="263"/>
      <c r="BC107" s="263"/>
      <c r="BD107" s="263"/>
      <c r="BE107" s="263"/>
      <c r="BF107" s="263"/>
      <c r="BG107" s="263"/>
      <c r="BH107" s="263"/>
      <c r="BI107" s="263"/>
      <c r="BJ107" s="263"/>
      <c r="BK107" s="263"/>
      <c r="BL107" s="263"/>
    </row>
    <row r="108" spans="1:64" ht="64.5" customHeight="1">
      <c r="A108" s="294"/>
      <c r="B108" s="295"/>
      <c r="C108" s="295"/>
      <c r="D108" s="295"/>
      <c r="E108" s="295"/>
      <c r="F108" s="296"/>
      <c r="G108" s="296"/>
      <c r="H108" s="294"/>
      <c r="I108" s="294"/>
      <c r="J108" s="296"/>
      <c r="K108" s="296"/>
      <c r="L108" s="296"/>
      <c r="M108" s="294"/>
      <c r="N108" s="297"/>
      <c r="O108" s="297"/>
      <c r="P108" s="297"/>
      <c r="Q108" s="297"/>
      <c r="R108" s="297"/>
      <c r="S108" s="297"/>
      <c r="T108" s="298"/>
      <c r="U108" s="297"/>
      <c r="V108" s="298"/>
      <c r="W108" s="297"/>
      <c r="X108" s="298"/>
      <c r="Y108" s="297"/>
      <c r="Z108" s="297"/>
      <c r="AA108" s="299"/>
      <c r="AB108" s="299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</row>
    <row r="109" spans="1:64" ht="45" customHeight="1">
      <c r="A109" s="300"/>
      <c r="B109" s="300"/>
      <c r="C109" s="300"/>
      <c r="D109" s="300"/>
      <c r="E109" s="300"/>
      <c r="F109" s="296"/>
      <c r="G109" s="296"/>
      <c r="H109" s="296"/>
      <c r="I109" s="296"/>
      <c r="J109" s="296"/>
      <c r="K109" s="296"/>
      <c r="L109" s="296"/>
      <c r="M109" s="300"/>
      <c r="N109" s="297"/>
      <c r="O109" s="297"/>
      <c r="P109" s="297"/>
      <c r="Q109" s="297"/>
      <c r="R109" s="297"/>
      <c r="S109" s="297"/>
      <c r="T109" s="298"/>
      <c r="U109" s="297"/>
      <c r="V109" s="298"/>
      <c r="W109" s="297"/>
      <c r="X109" s="298"/>
      <c r="Y109" s="297"/>
      <c r="Z109" s="297"/>
      <c r="AA109" s="299"/>
      <c r="AB109" s="299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</row>
    <row r="110" spans="1:64" ht="78" customHeight="1">
      <c r="A110" s="294"/>
      <c r="B110" s="295"/>
      <c r="C110" s="295"/>
      <c r="D110" s="295"/>
      <c r="E110" s="295"/>
      <c r="F110" s="296"/>
      <c r="G110" s="296"/>
      <c r="H110" s="294"/>
      <c r="I110" s="294"/>
      <c r="J110" s="296"/>
      <c r="K110" s="296"/>
      <c r="L110" s="296"/>
      <c r="M110" s="294"/>
      <c r="N110" s="297"/>
      <c r="O110" s="297"/>
      <c r="P110" s="297"/>
      <c r="Q110" s="297"/>
      <c r="R110" s="297"/>
      <c r="S110" s="297"/>
      <c r="T110" s="298"/>
      <c r="U110" s="297"/>
      <c r="V110" s="298"/>
      <c r="W110" s="297"/>
      <c r="X110" s="298"/>
      <c r="Y110" s="297"/>
      <c r="Z110" s="297"/>
      <c r="AA110" s="299"/>
      <c r="AB110" s="299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</row>
    <row r="111" spans="1:64" ht="52.5" customHeight="1">
      <c r="A111" s="296"/>
      <c r="B111" s="296"/>
      <c r="C111" s="296"/>
      <c r="D111" s="296"/>
      <c r="E111" s="296"/>
      <c r="F111" s="296"/>
      <c r="G111" s="296"/>
      <c r="H111" s="296"/>
      <c r="I111" s="296"/>
      <c r="J111" s="296"/>
      <c r="K111" s="296"/>
      <c r="L111" s="296"/>
      <c r="M111" s="296"/>
      <c r="N111" s="297"/>
      <c r="O111" s="297"/>
      <c r="P111" s="297"/>
      <c r="Q111" s="297"/>
      <c r="R111" s="297"/>
      <c r="S111" s="297"/>
      <c r="T111" s="298"/>
      <c r="U111" s="297"/>
      <c r="V111" s="298"/>
      <c r="W111" s="297"/>
      <c r="X111" s="298"/>
      <c r="Y111" s="297"/>
      <c r="Z111" s="297"/>
      <c r="AA111" s="299"/>
      <c r="AB111" s="299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</row>
    <row r="112" spans="1:64" ht="74.25" customHeight="1">
      <c r="A112" s="294"/>
      <c r="B112" s="295"/>
      <c r="C112" s="295"/>
      <c r="D112" s="295"/>
      <c r="E112" s="295"/>
      <c r="F112" s="296"/>
      <c r="G112" s="296"/>
      <c r="H112" s="294"/>
      <c r="I112" s="294"/>
      <c r="J112" s="296"/>
      <c r="K112" s="296"/>
      <c r="L112" s="296"/>
      <c r="M112" s="294"/>
      <c r="N112" s="297"/>
      <c r="O112" s="297"/>
      <c r="P112" s="297"/>
      <c r="Q112" s="297"/>
      <c r="R112" s="297"/>
      <c r="S112" s="297"/>
      <c r="T112" s="298"/>
      <c r="U112" s="297"/>
      <c r="V112" s="298"/>
      <c r="W112" s="297"/>
      <c r="X112" s="298"/>
      <c r="Y112" s="297"/>
      <c r="Z112" s="297"/>
      <c r="AA112" s="299"/>
      <c r="AB112" s="299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</row>
    <row r="113" spans="1:64" ht="49.5" customHeight="1">
      <c r="A113" s="296"/>
      <c r="B113" s="296"/>
      <c r="C113" s="296"/>
      <c r="D113" s="296"/>
      <c r="E113" s="296"/>
      <c r="F113" s="296"/>
      <c r="G113" s="296"/>
      <c r="H113" s="296"/>
      <c r="I113" s="296"/>
      <c r="J113" s="296"/>
      <c r="K113" s="296"/>
      <c r="L113" s="296"/>
      <c r="M113" s="296"/>
      <c r="N113" s="297"/>
      <c r="O113" s="297"/>
      <c r="P113" s="297"/>
      <c r="Q113" s="297"/>
      <c r="R113" s="297"/>
      <c r="S113" s="297"/>
      <c r="T113" s="298"/>
      <c r="U113" s="297"/>
      <c r="V113" s="298"/>
      <c r="W113" s="297"/>
      <c r="X113" s="298"/>
      <c r="Y113" s="297"/>
      <c r="Z113" s="297"/>
      <c r="AA113" s="299"/>
      <c r="AB113" s="299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</row>
    <row r="114" spans="1:28" s="304" customFormat="1" ht="109.5" customHeight="1">
      <c r="A114" s="301"/>
      <c r="B114" s="301"/>
      <c r="C114" s="301"/>
      <c r="D114" s="301"/>
      <c r="E114" s="301"/>
      <c r="F114" s="301"/>
      <c r="G114" s="301"/>
      <c r="H114" s="301"/>
      <c r="I114" s="294"/>
      <c r="J114" s="296"/>
      <c r="K114" s="296"/>
      <c r="L114" s="296"/>
      <c r="M114" s="294"/>
      <c r="N114" s="302"/>
      <c r="O114" s="302"/>
      <c r="P114" s="302"/>
      <c r="Q114" s="302"/>
      <c r="R114" s="302"/>
      <c r="S114" s="302"/>
      <c r="T114" s="303"/>
      <c r="U114" s="302"/>
      <c r="V114" s="303"/>
      <c r="W114" s="302"/>
      <c r="X114" s="303"/>
      <c r="Y114" s="302"/>
      <c r="Z114" s="302"/>
      <c r="AA114" s="299"/>
      <c r="AB114" s="299"/>
    </row>
    <row r="115" spans="1:67" ht="45.75">
      <c r="A115" s="305"/>
      <c r="B115" s="306"/>
      <c r="C115" s="307"/>
      <c r="D115" s="306"/>
      <c r="E115" s="308"/>
      <c r="F115" s="308"/>
      <c r="G115" s="308"/>
      <c r="H115" s="26"/>
      <c r="I115" s="309"/>
      <c r="AC115" s="310"/>
      <c r="AD115" s="310"/>
      <c r="AE115" s="310"/>
      <c r="AF115" s="310"/>
      <c r="AG115" s="310"/>
      <c r="AH115" s="310"/>
      <c r="AI115" s="310"/>
      <c r="AJ115" s="310"/>
      <c r="AK115" s="310"/>
      <c r="AL115" s="310"/>
      <c r="AM115" s="310"/>
      <c r="AN115" s="310"/>
      <c r="AO115" s="310"/>
      <c r="AP115" s="310"/>
      <c r="AQ115" s="310"/>
      <c r="AR115" s="310"/>
      <c r="AS115" s="310"/>
      <c r="AT115" s="310"/>
      <c r="AU115" s="310"/>
      <c r="AV115" s="310"/>
      <c r="AW115" s="310"/>
      <c r="AX115" s="310"/>
      <c r="AY115" s="310"/>
      <c r="AZ115" s="310"/>
      <c r="BA115" s="310"/>
      <c r="BB115" s="310"/>
      <c r="BC115" s="310"/>
      <c r="BD115" s="310"/>
      <c r="BE115" s="310"/>
      <c r="BF115" s="310"/>
      <c r="BG115" s="310"/>
      <c r="BH115" s="310"/>
      <c r="BI115" s="310"/>
      <c r="BJ115" s="310"/>
      <c r="BK115" s="310"/>
      <c r="BL115" s="310"/>
      <c r="BM115" s="310"/>
      <c r="BN115" s="310"/>
      <c r="BO115" s="310"/>
    </row>
    <row r="116" spans="29:67" ht="20.25">
      <c r="AC116" s="310"/>
      <c r="AD116" s="310"/>
      <c r="AE116" s="310"/>
      <c r="AF116" s="310"/>
      <c r="AG116" s="310"/>
      <c r="AH116" s="310"/>
      <c r="AI116" s="310"/>
      <c r="AJ116" s="310"/>
      <c r="AK116" s="310"/>
      <c r="AL116" s="310"/>
      <c r="AM116" s="310"/>
      <c r="AN116" s="310"/>
      <c r="AO116" s="310"/>
      <c r="AP116" s="310"/>
      <c r="AQ116" s="310"/>
      <c r="AR116" s="310"/>
      <c r="AS116" s="310"/>
      <c r="AT116" s="310"/>
      <c r="AU116" s="310"/>
      <c r="AV116" s="310"/>
      <c r="AW116" s="310"/>
      <c r="AX116" s="310"/>
      <c r="AY116" s="310"/>
      <c r="AZ116" s="310"/>
      <c r="BA116" s="310"/>
      <c r="BB116" s="310"/>
      <c r="BC116" s="310"/>
      <c r="BD116" s="310"/>
      <c r="BE116" s="310"/>
      <c r="BF116" s="310"/>
      <c r="BG116" s="310"/>
      <c r="BH116" s="310"/>
      <c r="BI116" s="310"/>
      <c r="BJ116" s="310"/>
      <c r="BK116" s="310"/>
      <c r="BL116" s="310"/>
      <c r="BM116" s="310"/>
      <c r="BN116" s="310"/>
      <c r="BO116" s="310"/>
    </row>
    <row r="117" spans="1:67" ht="20.25">
      <c r="A117" s="311"/>
      <c r="B117" s="312"/>
      <c r="C117" s="313"/>
      <c r="D117" s="313"/>
      <c r="E117" s="313"/>
      <c r="F117" s="313"/>
      <c r="G117" s="313"/>
      <c r="H117" s="313"/>
      <c r="I117" s="313"/>
      <c r="J117" s="313"/>
      <c r="K117" s="313"/>
      <c r="L117" s="313"/>
      <c r="M117" s="313"/>
      <c r="N117" s="313"/>
      <c r="O117" s="313"/>
      <c r="P117" s="313"/>
      <c r="Q117" s="313"/>
      <c r="R117" s="313"/>
      <c r="S117" s="313"/>
      <c r="T117" s="314"/>
      <c r="U117" s="313"/>
      <c r="V117" s="314"/>
      <c r="W117" s="313"/>
      <c r="X117" s="314"/>
      <c r="Y117" s="313"/>
      <c r="Z117" s="313"/>
      <c r="AA117" s="313"/>
      <c r="AB117" s="313"/>
      <c r="AC117" s="310"/>
      <c r="AD117" s="310"/>
      <c r="AE117" s="310"/>
      <c r="AF117" s="310"/>
      <c r="AG117" s="310"/>
      <c r="AH117" s="310"/>
      <c r="AI117" s="310"/>
      <c r="AJ117" s="310"/>
      <c r="AK117" s="310"/>
      <c r="AL117" s="310"/>
      <c r="AM117" s="310"/>
      <c r="AN117" s="310"/>
      <c r="AO117" s="310"/>
      <c r="AP117" s="310"/>
      <c r="AQ117" s="310"/>
      <c r="AR117" s="310"/>
      <c r="AS117" s="310"/>
      <c r="AT117" s="310"/>
      <c r="AU117" s="310"/>
      <c r="AV117" s="310"/>
      <c r="AW117" s="310"/>
      <c r="AX117" s="310"/>
      <c r="AY117" s="310"/>
      <c r="AZ117" s="310"/>
      <c r="BA117" s="310"/>
      <c r="BB117" s="310"/>
      <c r="BC117" s="310"/>
      <c r="BD117" s="310"/>
      <c r="BE117" s="310"/>
      <c r="BF117" s="310"/>
      <c r="BG117" s="310"/>
      <c r="BH117" s="310"/>
      <c r="BI117" s="310"/>
      <c r="BJ117" s="310"/>
      <c r="BK117" s="310"/>
      <c r="BL117" s="310"/>
      <c r="BM117" s="310"/>
      <c r="BN117" s="310"/>
      <c r="BO117" s="310"/>
    </row>
    <row r="118" spans="1:67" ht="20.25">
      <c r="A118" s="315"/>
      <c r="B118" s="316"/>
      <c r="C118" s="317"/>
      <c r="D118" s="311"/>
      <c r="E118" s="311"/>
      <c r="F118" s="311"/>
      <c r="AC118" s="310"/>
      <c r="AD118" s="310"/>
      <c r="AE118" s="310"/>
      <c r="AF118" s="310"/>
      <c r="AG118" s="310"/>
      <c r="AH118" s="310"/>
      <c r="AI118" s="310"/>
      <c r="AJ118" s="310"/>
      <c r="AK118" s="310"/>
      <c r="AL118" s="310"/>
      <c r="AM118" s="310"/>
      <c r="AN118" s="310"/>
      <c r="AO118" s="310"/>
      <c r="AP118" s="310"/>
      <c r="AQ118" s="310"/>
      <c r="AR118" s="310"/>
      <c r="AS118" s="310"/>
      <c r="AT118" s="310"/>
      <c r="AU118" s="310"/>
      <c r="AV118" s="310"/>
      <c r="AW118" s="310"/>
      <c r="AX118" s="310"/>
      <c r="AY118" s="310"/>
      <c r="AZ118" s="310"/>
      <c r="BA118" s="310"/>
      <c r="BB118" s="310"/>
      <c r="BC118" s="310"/>
      <c r="BD118" s="310"/>
      <c r="BE118" s="310"/>
      <c r="BF118" s="310"/>
      <c r="BG118" s="310"/>
      <c r="BH118" s="310"/>
      <c r="BI118" s="310"/>
      <c r="BJ118" s="310"/>
      <c r="BK118" s="310"/>
      <c r="BL118" s="310"/>
      <c r="BM118" s="310"/>
      <c r="BN118" s="310"/>
      <c r="BO118" s="310"/>
    </row>
    <row r="119" spans="29:67" ht="20.25">
      <c r="AC119" s="310"/>
      <c r="AD119" s="310"/>
      <c r="AE119" s="310"/>
      <c r="AF119" s="310"/>
      <c r="AG119" s="310"/>
      <c r="AH119" s="310"/>
      <c r="AI119" s="310"/>
      <c r="AJ119" s="310"/>
      <c r="AK119" s="310"/>
      <c r="AL119" s="310"/>
      <c r="AM119" s="310"/>
      <c r="AN119" s="310"/>
      <c r="AO119" s="310"/>
      <c r="AP119" s="310"/>
      <c r="AQ119" s="310"/>
      <c r="AR119" s="310"/>
      <c r="AS119" s="310"/>
      <c r="AT119" s="310"/>
      <c r="AU119" s="310"/>
      <c r="AV119" s="310"/>
      <c r="AW119" s="310"/>
      <c r="AX119" s="310"/>
      <c r="AY119" s="310"/>
      <c r="AZ119" s="310"/>
      <c r="BA119" s="310"/>
      <c r="BB119" s="310"/>
      <c r="BC119" s="310"/>
      <c r="BD119" s="310"/>
      <c r="BE119" s="310"/>
      <c r="BF119" s="310"/>
      <c r="BG119" s="310"/>
      <c r="BH119" s="310"/>
      <c r="BI119" s="310"/>
      <c r="BJ119" s="310"/>
      <c r="BK119" s="310"/>
      <c r="BL119" s="310"/>
      <c r="BM119" s="310"/>
      <c r="BN119" s="310"/>
      <c r="BO119" s="310"/>
    </row>
    <row r="120" spans="29:67" ht="20.25">
      <c r="AC120" s="310"/>
      <c r="AD120" s="310"/>
      <c r="AE120" s="310"/>
      <c r="AF120" s="310"/>
      <c r="AG120" s="310"/>
      <c r="AH120" s="310"/>
      <c r="AI120" s="310"/>
      <c r="AJ120" s="310"/>
      <c r="AK120" s="310"/>
      <c r="AL120" s="310"/>
      <c r="AM120" s="310"/>
      <c r="AN120" s="310"/>
      <c r="AO120" s="310"/>
      <c r="AP120" s="310"/>
      <c r="AQ120" s="310"/>
      <c r="AR120" s="310"/>
      <c r="AS120" s="310"/>
      <c r="AT120" s="310"/>
      <c r="AU120" s="310"/>
      <c r="AV120" s="310"/>
      <c r="AW120" s="310"/>
      <c r="AX120" s="310"/>
      <c r="AY120" s="310"/>
      <c r="AZ120" s="310"/>
      <c r="BA120" s="310"/>
      <c r="BB120" s="310"/>
      <c r="BC120" s="310"/>
      <c r="BD120" s="310"/>
      <c r="BE120" s="310"/>
      <c r="BF120" s="310"/>
      <c r="BG120" s="310"/>
      <c r="BH120" s="310"/>
      <c r="BI120" s="310"/>
      <c r="BJ120" s="310"/>
      <c r="BK120" s="310"/>
      <c r="BL120" s="310"/>
      <c r="BM120" s="310"/>
      <c r="BN120" s="310"/>
      <c r="BO120" s="310"/>
    </row>
    <row r="121" spans="29:67" ht="20.25">
      <c r="AC121" s="310"/>
      <c r="AD121" s="310"/>
      <c r="AE121" s="310"/>
      <c r="AF121" s="310"/>
      <c r="AG121" s="310"/>
      <c r="AH121" s="310"/>
      <c r="AI121" s="310"/>
      <c r="AJ121" s="310"/>
      <c r="AK121" s="310"/>
      <c r="AL121" s="310"/>
      <c r="AM121" s="310"/>
      <c r="AN121" s="310"/>
      <c r="AO121" s="310"/>
      <c r="AP121" s="310"/>
      <c r="AQ121" s="310"/>
      <c r="AR121" s="310"/>
      <c r="AS121" s="310"/>
      <c r="AT121" s="310"/>
      <c r="AU121" s="310"/>
      <c r="AV121" s="310"/>
      <c r="AW121" s="310"/>
      <c r="AX121" s="310"/>
      <c r="AY121" s="310"/>
      <c r="AZ121" s="310"/>
      <c r="BA121" s="310"/>
      <c r="BB121" s="310"/>
      <c r="BC121" s="310"/>
      <c r="BD121" s="310"/>
      <c r="BE121" s="310"/>
      <c r="BF121" s="310"/>
      <c r="BG121" s="310"/>
      <c r="BH121" s="310"/>
      <c r="BI121" s="310"/>
      <c r="BJ121" s="310"/>
      <c r="BK121" s="310"/>
      <c r="BL121" s="310"/>
      <c r="BM121" s="310"/>
      <c r="BN121" s="310"/>
      <c r="BO121" s="310"/>
    </row>
    <row r="122" spans="29:67" ht="20.25">
      <c r="AC122" s="310"/>
      <c r="AD122" s="310"/>
      <c r="AE122" s="310"/>
      <c r="AF122" s="310"/>
      <c r="AG122" s="310"/>
      <c r="AH122" s="310"/>
      <c r="AI122" s="310"/>
      <c r="AJ122" s="310"/>
      <c r="AK122" s="310"/>
      <c r="AL122" s="310"/>
      <c r="AM122" s="310"/>
      <c r="AN122" s="310"/>
      <c r="AO122" s="310"/>
      <c r="AP122" s="310"/>
      <c r="AQ122" s="310"/>
      <c r="AR122" s="310"/>
      <c r="AS122" s="310"/>
      <c r="AT122" s="310"/>
      <c r="AU122" s="310"/>
      <c r="AV122" s="310"/>
      <c r="AW122" s="310"/>
      <c r="AX122" s="310"/>
      <c r="AY122" s="310"/>
      <c r="AZ122" s="310"/>
      <c r="BA122" s="310"/>
      <c r="BB122" s="310"/>
      <c r="BC122" s="310"/>
      <c r="BD122" s="310"/>
      <c r="BE122" s="310"/>
      <c r="BF122" s="310"/>
      <c r="BG122" s="310"/>
      <c r="BH122" s="310"/>
      <c r="BI122" s="310"/>
      <c r="BJ122" s="310"/>
      <c r="BK122" s="310"/>
      <c r="BL122" s="310"/>
      <c r="BM122" s="310"/>
      <c r="BN122" s="310"/>
      <c r="BO122" s="310"/>
    </row>
    <row r="123" spans="29:67" ht="20.25">
      <c r="AC123" s="310"/>
      <c r="AD123" s="310"/>
      <c r="AE123" s="310"/>
      <c r="AF123" s="310"/>
      <c r="AG123" s="310"/>
      <c r="AH123" s="310"/>
      <c r="AI123" s="310"/>
      <c r="AJ123" s="310"/>
      <c r="AK123" s="310"/>
      <c r="AL123" s="310"/>
      <c r="AM123" s="310"/>
      <c r="AN123" s="310"/>
      <c r="AO123" s="310"/>
      <c r="AP123" s="310"/>
      <c r="AQ123" s="310"/>
      <c r="AR123" s="310"/>
      <c r="AS123" s="310"/>
      <c r="AT123" s="310"/>
      <c r="AU123" s="310"/>
      <c r="AV123" s="310"/>
      <c r="AW123" s="310"/>
      <c r="AX123" s="310"/>
      <c r="AY123" s="310"/>
      <c r="AZ123" s="310"/>
      <c r="BA123" s="310"/>
      <c r="BB123" s="310"/>
      <c r="BC123" s="310"/>
      <c r="BD123" s="310"/>
      <c r="BE123" s="310"/>
      <c r="BF123" s="310"/>
      <c r="BG123" s="310"/>
      <c r="BH123" s="310"/>
      <c r="BI123" s="310"/>
      <c r="BJ123" s="310"/>
      <c r="BK123" s="310"/>
      <c r="BL123" s="310"/>
      <c r="BM123" s="310"/>
      <c r="BN123" s="310"/>
      <c r="BO123" s="310"/>
    </row>
    <row r="124" spans="29:67" ht="20.25">
      <c r="AC124" s="310"/>
      <c r="AD124" s="310"/>
      <c r="AE124" s="310"/>
      <c r="AF124" s="310"/>
      <c r="AG124" s="310"/>
      <c r="AH124" s="310"/>
      <c r="AI124" s="310"/>
      <c r="AJ124" s="310"/>
      <c r="AK124" s="310"/>
      <c r="AL124" s="310"/>
      <c r="AM124" s="310"/>
      <c r="AN124" s="310"/>
      <c r="AO124" s="310"/>
      <c r="AP124" s="310"/>
      <c r="AQ124" s="310"/>
      <c r="AR124" s="310"/>
      <c r="AS124" s="310"/>
      <c r="AT124" s="310"/>
      <c r="AU124" s="310"/>
      <c r="AV124" s="310"/>
      <c r="AW124" s="310"/>
      <c r="AX124" s="310"/>
      <c r="AY124" s="310"/>
      <c r="AZ124" s="310"/>
      <c r="BA124" s="310"/>
      <c r="BB124" s="310"/>
      <c r="BC124" s="310"/>
      <c r="BD124" s="310"/>
      <c r="BE124" s="310"/>
      <c r="BF124" s="310"/>
      <c r="BG124" s="310"/>
      <c r="BH124" s="310"/>
      <c r="BI124" s="310"/>
      <c r="BJ124" s="310"/>
      <c r="BK124" s="310"/>
      <c r="BL124" s="310"/>
      <c r="BM124" s="310"/>
      <c r="BN124" s="310"/>
      <c r="BO124" s="310"/>
    </row>
    <row r="125" spans="1:67" ht="2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318"/>
      <c r="U125" s="5"/>
      <c r="V125" s="318"/>
      <c r="W125" s="5"/>
      <c r="X125" s="318"/>
      <c r="Y125" s="5"/>
      <c r="Z125" s="5"/>
      <c r="AC125" s="310"/>
      <c r="AD125" s="310"/>
      <c r="AE125" s="310"/>
      <c r="AF125" s="310"/>
      <c r="AG125" s="310"/>
      <c r="AH125" s="310"/>
      <c r="AI125" s="310"/>
      <c r="AJ125" s="310"/>
      <c r="AK125" s="310"/>
      <c r="AL125" s="310"/>
      <c r="AM125" s="310"/>
      <c r="AN125" s="310"/>
      <c r="AO125" s="310"/>
      <c r="AP125" s="310"/>
      <c r="AQ125" s="310"/>
      <c r="AR125" s="310"/>
      <c r="AS125" s="310"/>
      <c r="AT125" s="310"/>
      <c r="AU125" s="310"/>
      <c r="AV125" s="310"/>
      <c r="AW125" s="310"/>
      <c r="AX125" s="310"/>
      <c r="AY125" s="310"/>
      <c r="AZ125" s="310"/>
      <c r="BA125" s="310"/>
      <c r="BB125" s="310"/>
      <c r="BC125" s="310"/>
      <c r="BD125" s="310"/>
      <c r="BE125" s="310"/>
      <c r="BF125" s="310"/>
      <c r="BG125" s="310"/>
      <c r="BH125" s="310"/>
      <c r="BI125" s="310"/>
      <c r="BJ125" s="310"/>
      <c r="BK125" s="310"/>
      <c r="BL125" s="310"/>
      <c r="BM125" s="310"/>
      <c r="BN125" s="310"/>
      <c r="BO125" s="310"/>
    </row>
    <row r="126" spans="1:67" ht="2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318"/>
      <c r="U126" s="5"/>
      <c r="V126" s="318"/>
      <c r="W126" s="5"/>
      <c r="X126" s="318"/>
      <c r="Y126" s="5"/>
      <c r="Z126" s="5"/>
      <c r="AC126" s="310"/>
      <c r="AD126" s="310"/>
      <c r="AE126" s="310"/>
      <c r="AF126" s="310"/>
      <c r="AG126" s="310"/>
      <c r="AH126" s="310"/>
      <c r="AI126" s="310"/>
      <c r="AJ126" s="310"/>
      <c r="AK126" s="310"/>
      <c r="AL126" s="310"/>
      <c r="AM126" s="310"/>
      <c r="AN126" s="310"/>
      <c r="AO126" s="310"/>
      <c r="AP126" s="310"/>
      <c r="AQ126" s="310"/>
      <c r="AR126" s="310"/>
      <c r="AS126" s="310"/>
      <c r="AT126" s="310"/>
      <c r="AU126" s="310"/>
      <c r="AV126" s="310"/>
      <c r="AW126" s="310"/>
      <c r="AX126" s="310"/>
      <c r="AY126" s="310"/>
      <c r="AZ126" s="310"/>
      <c r="BA126" s="310"/>
      <c r="BB126" s="310"/>
      <c r="BC126" s="310"/>
      <c r="BD126" s="310"/>
      <c r="BE126" s="310"/>
      <c r="BF126" s="310"/>
      <c r="BG126" s="310"/>
      <c r="BH126" s="310"/>
      <c r="BI126" s="310"/>
      <c r="BJ126" s="310"/>
      <c r="BK126" s="310"/>
      <c r="BL126" s="310"/>
      <c r="BM126" s="310"/>
      <c r="BN126" s="310"/>
      <c r="BO126" s="310"/>
    </row>
    <row r="127" spans="1:67" ht="2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318"/>
      <c r="U127" s="5"/>
      <c r="V127" s="318"/>
      <c r="W127" s="5"/>
      <c r="X127" s="318"/>
      <c r="Y127" s="5"/>
      <c r="Z127" s="5"/>
      <c r="AC127" s="310"/>
      <c r="AD127" s="310"/>
      <c r="AE127" s="310"/>
      <c r="AF127" s="310"/>
      <c r="AG127" s="310"/>
      <c r="AH127" s="310"/>
      <c r="AI127" s="310"/>
      <c r="AJ127" s="310"/>
      <c r="AK127" s="310"/>
      <c r="AL127" s="310"/>
      <c r="AM127" s="310"/>
      <c r="AN127" s="310"/>
      <c r="AO127" s="310"/>
      <c r="AP127" s="310"/>
      <c r="AQ127" s="310"/>
      <c r="AR127" s="310"/>
      <c r="AS127" s="310"/>
      <c r="AT127" s="310"/>
      <c r="AU127" s="310"/>
      <c r="AV127" s="310"/>
      <c r="AW127" s="310"/>
      <c r="AX127" s="310"/>
      <c r="AY127" s="310"/>
      <c r="AZ127" s="310"/>
      <c r="BA127" s="310"/>
      <c r="BB127" s="310"/>
      <c r="BC127" s="310"/>
      <c r="BD127" s="310"/>
      <c r="BE127" s="310"/>
      <c r="BF127" s="310"/>
      <c r="BG127" s="310"/>
      <c r="BH127" s="310"/>
      <c r="BI127" s="310"/>
      <c r="BJ127" s="310"/>
      <c r="BK127" s="310"/>
      <c r="BL127" s="310"/>
      <c r="BM127" s="310"/>
      <c r="BN127" s="310"/>
      <c r="BO127" s="310"/>
    </row>
    <row r="128" spans="1:67" ht="2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318"/>
      <c r="U128" s="5"/>
      <c r="V128" s="318"/>
      <c r="W128" s="5"/>
      <c r="X128" s="318"/>
      <c r="Y128" s="5"/>
      <c r="Z128" s="5"/>
      <c r="AC128" s="310"/>
      <c r="AD128" s="310"/>
      <c r="AE128" s="310"/>
      <c r="AF128" s="310"/>
      <c r="AG128" s="310"/>
      <c r="AH128" s="310"/>
      <c r="AI128" s="310"/>
      <c r="AJ128" s="310"/>
      <c r="AK128" s="310"/>
      <c r="AL128" s="310"/>
      <c r="AM128" s="310"/>
      <c r="AN128" s="310"/>
      <c r="AO128" s="310"/>
      <c r="AP128" s="310"/>
      <c r="AQ128" s="310"/>
      <c r="AR128" s="310"/>
      <c r="AS128" s="310"/>
      <c r="AT128" s="310"/>
      <c r="AU128" s="310"/>
      <c r="AV128" s="310"/>
      <c r="AW128" s="310"/>
      <c r="AX128" s="310"/>
      <c r="AY128" s="310"/>
      <c r="AZ128" s="310"/>
      <c r="BA128" s="310"/>
      <c r="BB128" s="310"/>
      <c r="BC128" s="310"/>
      <c r="BD128" s="310"/>
      <c r="BE128" s="310"/>
      <c r="BF128" s="310"/>
      <c r="BG128" s="310"/>
      <c r="BH128" s="310"/>
      <c r="BI128" s="310"/>
      <c r="BJ128" s="310"/>
      <c r="BK128" s="310"/>
      <c r="BL128" s="310"/>
      <c r="BM128" s="310"/>
      <c r="BN128" s="310"/>
      <c r="BO128" s="310"/>
    </row>
    <row r="129" spans="1:67" ht="2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318"/>
      <c r="U129" s="5"/>
      <c r="V129" s="318"/>
      <c r="W129" s="5"/>
      <c r="X129" s="318"/>
      <c r="Y129" s="5"/>
      <c r="Z129" s="5"/>
      <c r="AC129" s="310"/>
      <c r="AD129" s="310"/>
      <c r="AE129" s="310"/>
      <c r="AF129" s="310"/>
      <c r="AG129" s="310"/>
      <c r="AH129" s="310"/>
      <c r="AI129" s="310"/>
      <c r="AJ129" s="310"/>
      <c r="AK129" s="310"/>
      <c r="AL129" s="310"/>
      <c r="AM129" s="310"/>
      <c r="AN129" s="310"/>
      <c r="AO129" s="310"/>
      <c r="AP129" s="310"/>
      <c r="AQ129" s="310"/>
      <c r="AR129" s="310"/>
      <c r="AS129" s="310"/>
      <c r="AT129" s="310"/>
      <c r="AU129" s="310"/>
      <c r="AV129" s="310"/>
      <c r="AW129" s="310"/>
      <c r="AX129" s="310"/>
      <c r="AY129" s="310"/>
      <c r="AZ129" s="310"/>
      <c r="BA129" s="310"/>
      <c r="BB129" s="310"/>
      <c r="BC129" s="310"/>
      <c r="BD129" s="310"/>
      <c r="BE129" s="310"/>
      <c r="BF129" s="310"/>
      <c r="BG129" s="310"/>
      <c r="BH129" s="310"/>
      <c r="BI129" s="310"/>
      <c r="BJ129" s="310"/>
      <c r="BK129" s="310"/>
      <c r="BL129" s="310"/>
      <c r="BM129" s="310"/>
      <c r="BN129" s="310"/>
      <c r="BO129" s="310"/>
    </row>
    <row r="130" spans="1:26" ht="2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318"/>
      <c r="U130" s="5"/>
      <c r="V130" s="318"/>
      <c r="W130" s="5"/>
      <c r="X130" s="318"/>
      <c r="Y130" s="5"/>
      <c r="Z130" s="5"/>
    </row>
  </sheetData>
  <sheetProtection selectLockedCells="1" selectUnlockedCells="1"/>
  <mergeCells count="63">
    <mergeCell ref="A5:T5"/>
    <mergeCell ref="A9:A12"/>
    <mergeCell ref="B9:B12"/>
    <mergeCell ref="C9:C12"/>
    <mergeCell ref="D9:D12"/>
    <mergeCell ref="E9:E12"/>
    <mergeCell ref="F9:M9"/>
    <mergeCell ref="N9:AB9"/>
    <mergeCell ref="F10:F12"/>
    <mergeCell ref="G10:M10"/>
    <mergeCell ref="N10:N12"/>
    <mergeCell ref="O10:P11"/>
    <mergeCell ref="Q10:R11"/>
    <mergeCell ref="S10:S12"/>
    <mergeCell ref="T10:T12"/>
    <mergeCell ref="U10:U12"/>
    <mergeCell ref="V10:V12"/>
    <mergeCell ref="W10:W12"/>
    <mergeCell ref="X10:X12"/>
    <mergeCell ref="Y10:Y12"/>
    <mergeCell ref="Z10:Z12"/>
    <mergeCell ref="AA10:AA12"/>
    <mergeCell ref="AB10:AB12"/>
    <mergeCell ref="G11:G12"/>
    <mergeCell ref="H11:H12"/>
    <mergeCell ref="I11:I12"/>
    <mergeCell ref="J11:J12"/>
    <mergeCell ref="K11:K12"/>
    <mergeCell ref="L11:L12"/>
    <mergeCell ref="M11:M12"/>
    <mergeCell ref="H88:L88"/>
    <mergeCell ref="V88:W88"/>
    <mergeCell ref="B90:D90"/>
    <mergeCell ref="C91:D91"/>
    <mergeCell ref="F91:H91"/>
    <mergeCell ref="C92:D92"/>
    <mergeCell ref="F92:I92"/>
    <mergeCell ref="C93:D93"/>
    <mergeCell ref="F93:I93"/>
    <mergeCell ref="C94:D94"/>
    <mergeCell ref="F94:I94"/>
    <mergeCell ref="C95:D95"/>
    <mergeCell ref="F95:I95"/>
    <mergeCell ref="F96:I96"/>
    <mergeCell ref="C97:D97"/>
    <mergeCell ref="F97:I97"/>
    <mergeCell ref="F98:I98"/>
    <mergeCell ref="C99:D99"/>
    <mergeCell ref="F99:I99"/>
    <mergeCell ref="C100:D100"/>
    <mergeCell ref="F100:I100"/>
    <mergeCell ref="C101:D101"/>
    <mergeCell ref="F101:I101"/>
    <mergeCell ref="C102:D102"/>
    <mergeCell ref="C103:D103"/>
    <mergeCell ref="F103:I103"/>
    <mergeCell ref="C104:D104"/>
    <mergeCell ref="F104:I104"/>
    <mergeCell ref="C105:D105"/>
    <mergeCell ref="F105:I105"/>
    <mergeCell ref="C106:D106"/>
    <mergeCell ref="F106:I106"/>
    <mergeCell ref="A114:H114"/>
  </mergeCells>
  <printOptions/>
  <pageMargins left="0.7875" right="0.7875" top="1.025" bottom="1.025" header="0.7875" footer="0.7875"/>
  <pageSetup firstPageNumber="1" useFirstPageNumber="1" horizontalDpi="300" verticalDpi="300" orientation="portrait" paperSize="9" scale="11"/>
  <headerFooter alignWithMargins="0">
    <oddHeader>&amp;C&amp;A</oddHeader>
    <oddFooter>&amp;CСтраница &amp;P</oddFooter>
  </headerFooter>
  <rowBreaks count="1" manualBreakCount="1">
    <brk id="71" max="255" man="1"/>
  </rowBreaks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2022-02-04T10:41:25Z</dcterms:modified>
  <cp:category/>
  <cp:version/>
  <cp:contentType/>
  <cp:contentStatus/>
  <cp:revision>2</cp:revision>
</cp:coreProperties>
</file>