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КоммерчСлужба\Отдел 801\Сивордова Ю.А\торги\квартальная 412на сентябрь\"/>
    </mc:Choice>
  </mc:AlternateContent>
  <bookViews>
    <workbookView xWindow="0" yWindow="0" windowWidth="23040" windowHeight="9405"/>
  </bookViews>
  <sheets>
    <sheet name="Лист2" sheetId="2" r:id="rId1"/>
    <sheet name="Лист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P6" i="2"/>
  <c r="P7" i="2"/>
  <c r="R7" i="2" s="1"/>
  <c r="S7" i="2" s="1"/>
  <c r="P8" i="2"/>
  <c r="P9" i="2"/>
  <c r="P10" i="2"/>
  <c r="P11" i="2"/>
  <c r="R11" i="2" s="1"/>
  <c r="S11" i="2" s="1"/>
  <c r="P12" i="2"/>
  <c r="P13" i="2"/>
  <c r="P14" i="2"/>
  <c r="P15" i="2"/>
  <c r="P16" i="2"/>
  <c r="P17" i="2"/>
  <c r="P18" i="2"/>
  <c r="P19" i="2"/>
  <c r="R19" i="2" s="1"/>
  <c r="S19" i="2" s="1"/>
  <c r="P20" i="2"/>
  <c r="P21" i="2"/>
  <c r="P22" i="2"/>
  <c r="P23" i="2"/>
  <c r="R23" i="2" s="1"/>
  <c r="S23" i="2" s="1"/>
  <c r="P24" i="2"/>
  <c r="P25" i="2"/>
  <c r="P26" i="2"/>
  <c r="P27" i="2"/>
  <c r="R27" i="2" s="1"/>
  <c r="S27" i="2" s="1"/>
  <c r="P28" i="2"/>
  <c r="P29" i="2"/>
  <c r="P30" i="2"/>
  <c r="P31" i="2"/>
  <c r="P32" i="2"/>
  <c r="P33" i="2"/>
  <c r="P34" i="2"/>
  <c r="P35" i="2"/>
  <c r="R35" i="2" s="1"/>
  <c r="S35" i="2" s="1"/>
  <c r="P36" i="2"/>
  <c r="P37" i="2"/>
  <c r="P38" i="2"/>
  <c r="P39" i="2"/>
  <c r="Q39" i="2" s="1"/>
  <c r="P40" i="2"/>
  <c r="P41" i="2"/>
  <c r="P42" i="2"/>
  <c r="P43" i="2"/>
  <c r="R43" i="2" s="1"/>
  <c r="S43" i="2" s="1"/>
  <c r="P44" i="2"/>
  <c r="P4" i="2"/>
  <c r="R4" i="2" s="1"/>
  <c r="S4" i="2" s="1"/>
  <c r="R15" i="2"/>
  <c r="S15" i="2" s="1"/>
  <c r="R31" i="2"/>
  <c r="S31" i="2" s="1"/>
  <c r="Q5" i="2"/>
  <c r="Q6" i="2"/>
  <c r="R9" i="2"/>
  <c r="S9" i="2" s="1"/>
  <c r="Q14" i="2"/>
  <c r="Q21" i="2"/>
  <c r="Q25" i="2"/>
  <c r="Q26" i="2"/>
  <c r="R29" i="2"/>
  <c r="S29" i="2" s="1"/>
  <c r="R30" i="2"/>
  <c r="S30" i="2" s="1"/>
  <c r="R34" i="2"/>
  <c r="S34" i="2" s="1"/>
  <c r="Q42" i="2"/>
  <c r="R10" i="2"/>
  <c r="S10" i="2" s="1"/>
  <c r="R22" i="2"/>
  <c r="S22" i="2" s="1"/>
  <c r="R38" i="2"/>
  <c r="S38" i="2" s="1"/>
  <c r="Q38" i="2"/>
  <c r="Q18" i="2"/>
  <c r="R36" i="2"/>
  <c r="S36" i="2" s="1"/>
  <c r="R32" i="2"/>
  <c r="S32" i="2" s="1"/>
  <c r="R28" i="2"/>
  <c r="S28" i="2" s="1"/>
  <c r="R24" i="2"/>
  <c r="S24" i="2" s="1"/>
  <c r="R20" i="2"/>
  <c r="S20" i="2" s="1"/>
  <c r="Q16" i="2"/>
  <c r="Q8" i="2"/>
  <c r="Q41" i="2"/>
  <c r="R37" i="2"/>
  <c r="S37" i="2" s="1"/>
  <c r="R33" i="2"/>
  <c r="S33" i="2" s="1"/>
  <c r="R21" i="2"/>
  <c r="S21" i="2" s="1"/>
  <c r="R17" i="2"/>
  <c r="S17" i="2" s="1"/>
  <c r="R12" i="2"/>
  <c r="S12" i="2" s="1"/>
  <c r="R5" i="2"/>
  <c r="S5" i="2" s="1"/>
  <c r="R6" i="2"/>
  <c r="S6" i="2" s="1"/>
  <c r="R8" i="2"/>
  <c r="S8" i="2" s="1"/>
  <c r="R13" i="2"/>
  <c r="S13" i="2" s="1"/>
  <c r="R25" i="2"/>
  <c r="S25" i="2" s="1"/>
  <c r="R26" i="2"/>
  <c r="S26" i="2" s="1"/>
  <c r="R40" i="2"/>
  <c r="S40" i="2" s="1"/>
  <c r="R41" i="2"/>
  <c r="S41" i="2" s="1"/>
  <c r="R44" i="2"/>
  <c r="S44" i="2" s="1"/>
  <c r="Q12" i="2"/>
  <c r="Q13" i="2"/>
  <c r="Q20" i="2"/>
  <c r="Q24" i="2"/>
  <c r="Q28" i="2"/>
  <c r="Q29" i="2"/>
  <c r="Q32" i="2"/>
  <c r="Q36" i="2"/>
  <c r="Q37" i="2"/>
  <c r="Q40" i="2"/>
  <c r="Q44" i="2"/>
  <c r="R14" i="2" l="1"/>
  <c r="S14" i="2" s="1"/>
  <c r="R42" i="2"/>
  <c r="S42" i="2" s="1"/>
  <c r="T42" i="2" s="1"/>
  <c r="Q30" i="2"/>
  <c r="T30" i="2" s="1"/>
  <c r="R18" i="2"/>
  <c r="S18" i="2" s="1"/>
  <c r="T18" i="2" s="1"/>
  <c r="Q10" i="2"/>
  <c r="Q34" i="2"/>
  <c r="T34" i="2" s="1"/>
  <c r="Q22" i="2"/>
  <c r="T22" i="2" s="1"/>
  <c r="R16" i="2"/>
  <c r="S16" i="2" s="1"/>
  <c r="T16" i="2" s="1"/>
  <c r="Q4" i="2"/>
  <c r="T4" i="2" s="1"/>
  <c r="Q33" i="2"/>
  <c r="T33" i="2" s="1"/>
  <c r="Q17" i="2"/>
  <c r="T17" i="2" s="1"/>
  <c r="Q9" i="2"/>
  <c r="T9" i="2" s="1"/>
  <c r="T26" i="2"/>
  <c r="T14" i="2"/>
  <c r="T37" i="2"/>
  <c r="T29" i="2"/>
  <c r="T21" i="2"/>
  <c r="T13" i="2"/>
  <c r="T5" i="2"/>
  <c r="Q43" i="2"/>
  <c r="T43" i="2" s="1"/>
  <c r="Q35" i="2"/>
  <c r="T35" i="2" s="1"/>
  <c r="Q31" i="2"/>
  <c r="T31" i="2" s="1"/>
  <c r="Q27" i="2"/>
  <c r="T27" i="2" s="1"/>
  <c r="Q23" i="2"/>
  <c r="T23" i="2" s="1"/>
  <c r="Q19" i="2"/>
  <c r="T19" i="2" s="1"/>
  <c r="Q15" i="2"/>
  <c r="Q11" i="2"/>
  <c r="T11" i="2" s="1"/>
  <c r="Q7" i="2"/>
  <c r="T7" i="2" s="1"/>
  <c r="T44" i="2"/>
  <c r="T40" i="2"/>
  <c r="T32" i="2"/>
  <c r="T28" i="2"/>
  <c r="T24" i="2"/>
  <c r="T20" i="2"/>
  <c r="T12" i="2"/>
  <c r="T8" i="2"/>
  <c r="R39" i="2"/>
  <c r="S39" i="2" s="1"/>
  <c r="T39" i="2" s="1"/>
  <c r="T6" i="2"/>
  <c r="T38" i="2"/>
  <c r="T10" i="2"/>
  <c r="T41" i="2"/>
  <c r="T25" i="2"/>
  <c r="T36" i="2"/>
  <c r="G35" i="3"/>
  <c r="K35" i="3"/>
  <c r="M35" i="3"/>
  <c r="A35" i="3" s="1"/>
  <c r="F35" i="3" s="1"/>
  <c r="G36" i="3"/>
  <c r="K36" i="3"/>
  <c r="M36" i="3"/>
  <c r="A36" i="3" s="1"/>
  <c r="F36" i="3" s="1"/>
  <c r="G37" i="3"/>
  <c r="K37" i="3"/>
  <c r="M37" i="3"/>
  <c r="A37" i="3" s="1"/>
  <c r="G38" i="3"/>
  <c r="K38" i="3"/>
  <c r="M38" i="3"/>
  <c r="A38" i="3" s="1"/>
  <c r="F38" i="3" s="1"/>
  <c r="G39" i="3"/>
  <c r="K39" i="3"/>
  <c r="M39" i="3"/>
  <c r="A39" i="3" s="1"/>
  <c r="F39" i="3" s="1"/>
  <c r="G40" i="3"/>
  <c r="K40" i="3"/>
  <c r="M40" i="3"/>
  <c r="A40" i="3" s="1"/>
  <c r="G41" i="3"/>
  <c r="K41" i="3"/>
  <c r="M41" i="3"/>
  <c r="A41" i="3" s="1"/>
  <c r="E41" i="3" s="1"/>
  <c r="G42" i="3"/>
  <c r="K42" i="3"/>
  <c r="M42" i="3"/>
  <c r="A42" i="3" s="1"/>
  <c r="E42" i="3" s="1"/>
  <c r="D43" i="3"/>
  <c r="C43" i="3" s="1"/>
  <c r="E43" i="3"/>
  <c r="F43" i="3"/>
  <c r="G43" i="3"/>
  <c r="K43" i="3"/>
  <c r="M43" i="3"/>
  <c r="A43" i="3" s="1"/>
  <c r="D44" i="3"/>
  <c r="C44" i="3" s="1"/>
  <c r="E44" i="3"/>
  <c r="F44" i="3"/>
  <c r="G44" i="3"/>
  <c r="K44" i="3"/>
  <c r="M44" i="3"/>
  <c r="A44" i="3" s="1"/>
  <c r="D45" i="3"/>
  <c r="C45" i="3" s="1"/>
  <c r="E45" i="3"/>
  <c r="F45" i="3"/>
  <c r="G45" i="3"/>
  <c r="K45" i="3"/>
  <c r="M45" i="3"/>
  <c r="A45" i="3" s="1"/>
  <c r="D46" i="3"/>
  <c r="C46" i="3" s="1"/>
  <c r="E46" i="3"/>
  <c r="F46" i="3"/>
  <c r="G46" i="3"/>
  <c r="K46" i="3"/>
  <c r="M46" i="3"/>
  <c r="A46" i="3" s="1"/>
  <c r="D47" i="3"/>
  <c r="C47" i="3" s="1"/>
  <c r="E47" i="3"/>
  <c r="F47" i="3"/>
  <c r="G47" i="3"/>
  <c r="K47" i="3"/>
  <c r="M47" i="3"/>
  <c r="A47" i="3" s="1"/>
  <c r="D48" i="3"/>
  <c r="C48" i="3" s="1"/>
  <c r="E48" i="3"/>
  <c r="F48" i="3"/>
  <c r="G48" i="3"/>
  <c r="K48" i="3"/>
  <c r="M48" i="3"/>
  <c r="A48" i="3" s="1"/>
  <c r="D49" i="3"/>
  <c r="C49" i="3" s="1"/>
  <c r="E49" i="3"/>
  <c r="F49" i="3"/>
  <c r="G49" i="3"/>
  <c r="K49" i="3"/>
  <c r="M49" i="3"/>
  <c r="A49" i="3" s="1"/>
  <c r="D50" i="3"/>
  <c r="C50" i="3" s="1"/>
  <c r="E50" i="3"/>
  <c r="F50" i="3"/>
  <c r="G50" i="3"/>
  <c r="K50" i="3"/>
  <c r="M50" i="3"/>
  <c r="A50" i="3" s="1"/>
  <c r="D51" i="3"/>
  <c r="C51" i="3" s="1"/>
  <c r="E51" i="3"/>
  <c r="F51" i="3"/>
  <c r="G51" i="3"/>
  <c r="K51" i="3"/>
  <c r="M51" i="3"/>
  <c r="A51" i="3" s="1"/>
  <c r="D52" i="3"/>
  <c r="C52" i="3" s="1"/>
  <c r="E52" i="3"/>
  <c r="F52" i="3"/>
  <c r="G52" i="3"/>
  <c r="K52" i="3"/>
  <c r="M52" i="3"/>
  <c r="A52" i="3" s="1"/>
  <c r="D53" i="3"/>
  <c r="C53" i="3" s="1"/>
  <c r="B53" i="3" s="1"/>
  <c r="I53" i="3" s="1"/>
  <c r="J53" i="3" s="1"/>
  <c r="L53" i="3" s="1"/>
  <c r="E53" i="3"/>
  <c r="F53" i="3"/>
  <c r="G53" i="3"/>
  <c r="K53" i="3"/>
  <c r="M53" i="3"/>
  <c r="A53" i="3" s="1"/>
  <c r="D54" i="3"/>
  <c r="C54" i="3" s="1"/>
  <c r="E54" i="3"/>
  <c r="F54" i="3"/>
  <c r="G54" i="3"/>
  <c r="K54" i="3"/>
  <c r="M54" i="3"/>
  <c r="A54" i="3" s="1"/>
  <c r="D55" i="3"/>
  <c r="C55" i="3" s="1"/>
  <c r="B55" i="3" s="1"/>
  <c r="I55" i="3" s="1"/>
  <c r="J55" i="3" s="1"/>
  <c r="L55" i="3" s="1"/>
  <c r="E55" i="3"/>
  <c r="F55" i="3"/>
  <c r="G55" i="3"/>
  <c r="K55" i="3"/>
  <c r="M55" i="3"/>
  <c r="A55" i="3" s="1"/>
  <c r="D56" i="3"/>
  <c r="C56" i="3" s="1"/>
  <c r="E56" i="3"/>
  <c r="F56" i="3"/>
  <c r="G56" i="3"/>
  <c r="K56" i="3"/>
  <c r="M56" i="3"/>
  <c r="A56" i="3" s="1"/>
  <c r="D57" i="3"/>
  <c r="C57" i="3" s="1"/>
  <c r="E57" i="3"/>
  <c r="F57" i="3"/>
  <c r="G57" i="3"/>
  <c r="K57" i="3"/>
  <c r="M57" i="3"/>
  <c r="A57" i="3" s="1"/>
  <c r="D58" i="3"/>
  <c r="C58" i="3" s="1"/>
  <c r="E58" i="3"/>
  <c r="F58" i="3"/>
  <c r="G58" i="3"/>
  <c r="K58" i="3"/>
  <c r="M58" i="3"/>
  <c r="A58" i="3" s="1"/>
  <c r="D59" i="3"/>
  <c r="C59" i="3" s="1"/>
  <c r="E59" i="3"/>
  <c r="F59" i="3"/>
  <c r="G59" i="3"/>
  <c r="K59" i="3"/>
  <c r="M59" i="3"/>
  <c r="A59" i="3" s="1"/>
  <c r="D60" i="3"/>
  <c r="C60" i="3" s="1"/>
  <c r="E60" i="3"/>
  <c r="F60" i="3"/>
  <c r="G60" i="3"/>
  <c r="K60" i="3"/>
  <c r="M60" i="3"/>
  <c r="A60" i="3" s="1"/>
  <c r="D61" i="3"/>
  <c r="C61" i="3" s="1"/>
  <c r="E61" i="3"/>
  <c r="F61" i="3"/>
  <c r="G61" i="3"/>
  <c r="K61" i="3"/>
  <c r="M61" i="3"/>
  <c r="A61" i="3" s="1"/>
  <c r="D62" i="3"/>
  <c r="C62" i="3" s="1"/>
  <c r="E62" i="3"/>
  <c r="F62" i="3"/>
  <c r="G62" i="3"/>
  <c r="K62" i="3"/>
  <c r="M62" i="3"/>
  <c r="A62" i="3" s="1"/>
  <c r="D63" i="3"/>
  <c r="C63" i="3" s="1"/>
  <c r="E63" i="3"/>
  <c r="F63" i="3"/>
  <c r="G63" i="3"/>
  <c r="K63" i="3"/>
  <c r="M63" i="3"/>
  <c r="A63" i="3" s="1"/>
  <c r="D64" i="3"/>
  <c r="C64" i="3" s="1"/>
  <c r="E64" i="3"/>
  <c r="F64" i="3"/>
  <c r="G64" i="3"/>
  <c r="K64" i="3"/>
  <c r="M64" i="3"/>
  <c r="A64" i="3" s="1"/>
  <c r="D65" i="3"/>
  <c r="C65" i="3" s="1"/>
  <c r="E65" i="3"/>
  <c r="F65" i="3"/>
  <c r="G65" i="3"/>
  <c r="K65" i="3"/>
  <c r="M65" i="3"/>
  <c r="A65" i="3" s="1"/>
  <c r="D66" i="3"/>
  <c r="C66" i="3" s="1"/>
  <c r="E66" i="3"/>
  <c r="F66" i="3"/>
  <c r="G66" i="3"/>
  <c r="K66" i="3"/>
  <c r="M66" i="3"/>
  <c r="A66" i="3" s="1"/>
  <c r="D67" i="3"/>
  <c r="C67" i="3" s="1"/>
  <c r="E67" i="3"/>
  <c r="F67" i="3"/>
  <c r="G67" i="3"/>
  <c r="K67" i="3"/>
  <c r="M67" i="3"/>
  <c r="A67" i="3" s="1"/>
  <c r="D68" i="3"/>
  <c r="C68" i="3" s="1"/>
  <c r="E68" i="3"/>
  <c r="F68" i="3"/>
  <c r="G68" i="3"/>
  <c r="K68" i="3"/>
  <c r="M68" i="3"/>
  <c r="A68" i="3" s="1"/>
  <c r="T15" i="2" l="1"/>
  <c r="T45" i="2" s="1"/>
  <c r="B65" i="3"/>
  <c r="I65" i="3" s="1"/>
  <c r="J65" i="3" s="1"/>
  <c r="L65" i="3" s="1"/>
  <c r="B59" i="3"/>
  <c r="I59" i="3" s="1"/>
  <c r="J59" i="3" s="1"/>
  <c r="L59" i="3" s="1"/>
  <c r="B67" i="3"/>
  <c r="I67" i="3" s="1"/>
  <c r="J67" i="3" s="1"/>
  <c r="L67" i="3" s="1"/>
  <c r="B63" i="3"/>
  <c r="I63" i="3" s="1"/>
  <c r="J63" i="3" s="1"/>
  <c r="L63" i="3" s="1"/>
  <c r="B61" i="3"/>
  <c r="I61" i="3" s="1"/>
  <c r="J61" i="3" s="1"/>
  <c r="L61" i="3" s="1"/>
  <c r="B57" i="3"/>
  <c r="I57" i="3" s="1"/>
  <c r="J57" i="3" s="1"/>
  <c r="L57" i="3" s="1"/>
  <c r="B51" i="3"/>
  <c r="I51" i="3" s="1"/>
  <c r="J51" i="3" s="1"/>
  <c r="L51" i="3" s="1"/>
  <c r="B49" i="3"/>
  <c r="I49" i="3" s="1"/>
  <c r="J49" i="3" s="1"/>
  <c r="L49" i="3" s="1"/>
  <c r="B47" i="3"/>
  <c r="I47" i="3" s="1"/>
  <c r="J47" i="3" s="1"/>
  <c r="L47" i="3" s="1"/>
  <c r="B45" i="3"/>
  <c r="I45" i="3" s="1"/>
  <c r="J45" i="3" s="1"/>
  <c r="L45" i="3" s="1"/>
  <c r="B43" i="3"/>
  <c r="I43" i="3" s="1"/>
  <c r="J43" i="3" s="1"/>
  <c r="L43" i="3" s="1"/>
  <c r="B68" i="3"/>
  <c r="I68" i="3" s="1"/>
  <c r="J68" i="3" s="1"/>
  <c r="L68" i="3" s="1"/>
  <c r="B66" i="3"/>
  <c r="I66" i="3" s="1"/>
  <c r="J66" i="3" s="1"/>
  <c r="L66" i="3" s="1"/>
  <c r="B64" i="3"/>
  <c r="I64" i="3" s="1"/>
  <c r="J64" i="3" s="1"/>
  <c r="L64" i="3" s="1"/>
  <c r="B62" i="3"/>
  <c r="I62" i="3" s="1"/>
  <c r="J62" i="3" s="1"/>
  <c r="L62" i="3" s="1"/>
  <c r="B60" i="3"/>
  <c r="I60" i="3" s="1"/>
  <c r="J60" i="3" s="1"/>
  <c r="L60" i="3" s="1"/>
  <c r="B58" i="3"/>
  <c r="I58" i="3" s="1"/>
  <c r="J58" i="3" s="1"/>
  <c r="L58" i="3" s="1"/>
  <c r="B56" i="3"/>
  <c r="I56" i="3" s="1"/>
  <c r="J56" i="3" s="1"/>
  <c r="L56" i="3" s="1"/>
  <c r="B54" i="3"/>
  <c r="I54" i="3" s="1"/>
  <c r="J54" i="3" s="1"/>
  <c r="L54" i="3" s="1"/>
  <c r="B52" i="3"/>
  <c r="I52" i="3" s="1"/>
  <c r="J52" i="3" s="1"/>
  <c r="L52" i="3" s="1"/>
  <c r="B50" i="3"/>
  <c r="I50" i="3" s="1"/>
  <c r="J50" i="3" s="1"/>
  <c r="L50" i="3" s="1"/>
  <c r="B48" i="3"/>
  <c r="I48" i="3" s="1"/>
  <c r="J48" i="3" s="1"/>
  <c r="L48" i="3" s="1"/>
  <c r="B46" i="3"/>
  <c r="I46" i="3" s="1"/>
  <c r="J46" i="3" s="1"/>
  <c r="L46" i="3" s="1"/>
  <c r="B44" i="3"/>
  <c r="I44" i="3" s="1"/>
  <c r="J44" i="3" s="1"/>
  <c r="L44" i="3" s="1"/>
  <c r="E40" i="3"/>
  <c r="D40" i="3"/>
  <c r="F40" i="3"/>
  <c r="E37" i="3"/>
  <c r="D37" i="3"/>
  <c r="F41" i="3"/>
  <c r="E36" i="3"/>
  <c r="D36" i="3"/>
  <c r="F42" i="3"/>
  <c r="E39" i="3"/>
  <c r="D39" i="3"/>
  <c r="E35" i="3"/>
  <c r="D35" i="3"/>
  <c r="C35" i="3" s="1"/>
  <c r="B35" i="3" s="1"/>
  <c r="I35" i="3" s="1"/>
  <c r="J35" i="3" s="1"/>
  <c r="L35" i="3" s="1"/>
  <c r="D42" i="3"/>
  <c r="E38" i="3"/>
  <c r="D38" i="3"/>
  <c r="F37" i="3"/>
  <c r="D41" i="3"/>
  <c r="C41" i="3" s="1"/>
  <c r="B41" i="3" s="1"/>
  <c r="C42" i="3" l="1"/>
  <c r="B42" i="3" s="1"/>
  <c r="C40" i="3"/>
  <c r="B40" i="3" s="1"/>
  <c r="I40" i="3" s="1"/>
  <c r="C38" i="3"/>
  <c r="B38" i="3" s="1"/>
  <c r="I38" i="3" s="1"/>
  <c r="C36" i="3"/>
  <c r="B36" i="3" s="1"/>
  <c r="I36" i="3" s="1"/>
  <c r="J36" i="3" s="1"/>
  <c r="L36" i="3" s="1"/>
  <c r="J44" i="2"/>
  <c r="I42" i="3"/>
  <c r="C39" i="3"/>
  <c r="B39" i="3" s="1"/>
  <c r="J43" i="2"/>
  <c r="I41" i="3"/>
  <c r="C37" i="3"/>
  <c r="B37" i="3" s="1"/>
  <c r="J42" i="2" l="1"/>
  <c r="J40" i="2"/>
  <c r="J39" i="2"/>
  <c r="I37" i="3"/>
  <c r="J38" i="3"/>
  <c r="K40" i="2"/>
  <c r="J42" i="3"/>
  <c r="K44" i="2"/>
  <c r="J41" i="3"/>
  <c r="K43" i="2"/>
  <c r="J40" i="3"/>
  <c r="K42" i="2"/>
  <c r="J41" i="2"/>
  <c r="I39" i="3"/>
  <c r="J37" i="3" l="1"/>
  <c r="K39" i="2"/>
  <c r="L40" i="3"/>
  <c r="M42" i="2" s="1"/>
  <c r="L42" i="2"/>
  <c r="L42" i="3"/>
  <c r="M44" i="2" s="1"/>
  <c r="L44" i="2"/>
  <c r="J39" i="3"/>
  <c r="K41" i="2"/>
  <c r="L41" i="3"/>
  <c r="M43" i="2" s="1"/>
  <c r="L43" i="2"/>
  <c r="L38" i="3"/>
  <c r="M40" i="2" s="1"/>
  <c r="L40" i="2"/>
  <c r="L37" i="3" l="1"/>
  <c r="M39" i="2" s="1"/>
  <c r="L39" i="2"/>
  <c r="L39" i="3"/>
  <c r="M41" i="2" s="1"/>
  <c r="L41" i="2"/>
  <c r="M69" i="3" l="1"/>
  <c r="A69" i="3" s="1"/>
  <c r="F69" i="3" s="1"/>
  <c r="M70" i="3"/>
  <c r="A70" i="3" s="1"/>
  <c r="M71" i="3"/>
  <c r="A71" i="3" s="1"/>
  <c r="M72" i="3"/>
  <c r="A72" i="3" s="1"/>
  <c r="M73" i="3"/>
  <c r="A73" i="3" s="1"/>
  <c r="M74" i="3"/>
  <c r="A74" i="3" s="1"/>
  <c r="M75" i="3"/>
  <c r="A75" i="3" s="1"/>
  <c r="M76" i="3"/>
  <c r="A76" i="3" s="1"/>
  <c r="M77" i="3"/>
  <c r="A77" i="3" s="1"/>
  <c r="M78" i="3"/>
  <c r="A78" i="3" s="1"/>
  <c r="M79" i="3"/>
  <c r="A79" i="3" s="1"/>
  <c r="M80" i="3"/>
  <c r="A80" i="3" s="1"/>
  <c r="M81" i="3"/>
  <c r="A81" i="3" s="1"/>
  <c r="M82" i="3"/>
  <c r="A82" i="3" s="1"/>
  <c r="M83" i="3"/>
  <c r="A83" i="3" s="1"/>
  <c r="M84" i="3"/>
  <c r="A84" i="3" s="1"/>
  <c r="M85" i="3"/>
  <c r="A85" i="3" s="1"/>
  <c r="M86" i="3"/>
  <c r="A86" i="3" s="1"/>
  <c r="M87" i="3"/>
  <c r="A87" i="3" s="1"/>
  <c r="M88" i="3"/>
  <c r="A88" i="3" s="1"/>
  <c r="M89" i="3"/>
  <c r="A89" i="3" s="1"/>
  <c r="M90" i="3"/>
  <c r="A90" i="3" s="1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D70" i="3"/>
  <c r="C70" i="3" s="1"/>
  <c r="D71" i="3"/>
  <c r="C71" i="3" s="1"/>
  <c r="D72" i="3"/>
  <c r="C72" i="3" s="1"/>
  <c r="D73" i="3"/>
  <c r="C73" i="3" s="1"/>
  <c r="D74" i="3"/>
  <c r="C74" i="3" s="1"/>
  <c r="D75" i="3"/>
  <c r="C75" i="3" s="1"/>
  <c r="D76" i="3"/>
  <c r="C76" i="3" s="1"/>
  <c r="D77" i="3"/>
  <c r="C77" i="3" s="1"/>
  <c r="D78" i="3"/>
  <c r="C78" i="3" s="1"/>
  <c r="D79" i="3"/>
  <c r="C79" i="3" s="1"/>
  <c r="D80" i="3"/>
  <c r="C80" i="3" s="1"/>
  <c r="D81" i="3"/>
  <c r="C81" i="3" s="1"/>
  <c r="D82" i="3"/>
  <c r="C82" i="3" s="1"/>
  <c r="D83" i="3"/>
  <c r="C83" i="3" s="1"/>
  <c r="D84" i="3"/>
  <c r="C84" i="3" s="1"/>
  <c r="D85" i="3"/>
  <c r="C85" i="3" s="1"/>
  <c r="D86" i="3"/>
  <c r="C86" i="3" s="1"/>
  <c r="D87" i="3"/>
  <c r="C87" i="3" s="1"/>
  <c r="D88" i="3"/>
  <c r="C88" i="3" s="1"/>
  <c r="D89" i="3"/>
  <c r="C89" i="3" s="1"/>
  <c r="D90" i="3"/>
  <c r="C90" i="3" s="1"/>
  <c r="M18" i="3"/>
  <c r="A18" i="3" s="1"/>
  <c r="D18" i="3" s="1"/>
  <c r="M19" i="3"/>
  <c r="A19" i="3" s="1"/>
  <c r="D19" i="3" s="1"/>
  <c r="M20" i="3"/>
  <c r="A20" i="3" s="1"/>
  <c r="D20" i="3" s="1"/>
  <c r="M21" i="3"/>
  <c r="A21" i="3" s="1"/>
  <c r="E21" i="3" s="1"/>
  <c r="M22" i="3"/>
  <c r="A22" i="3" s="1"/>
  <c r="D22" i="3" s="1"/>
  <c r="M23" i="3"/>
  <c r="A23" i="3" s="1"/>
  <c r="E23" i="3" s="1"/>
  <c r="M24" i="3"/>
  <c r="A24" i="3" s="1"/>
  <c r="E24" i="3" s="1"/>
  <c r="M25" i="3"/>
  <c r="A25" i="3" s="1"/>
  <c r="G25" i="3" s="1"/>
  <c r="M26" i="3"/>
  <c r="A26" i="3" s="1"/>
  <c r="E26" i="3" s="1"/>
  <c r="M27" i="3"/>
  <c r="A27" i="3" s="1"/>
  <c r="E27" i="3" s="1"/>
  <c r="M28" i="3"/>
  <c r="A28" i="3" s="1"/>
  <c r="E28" i="3" s="1"/>
  <c r="M29" i="3"/>
  <c r="A29" i="3" s="1"/>
  <c r="D29" i="3" s="1"/>
  <c r="M30" i="3"/>
  <c r="A30" i="3" s="1"/>
  <c r="D30" i="3" s="1"/>
  <c r="M31" i="3"/>
  <c r="A31" i="3" s="1"/>
  <c r="D31" i="3" s="1"/>
  <c r="M32" i="3"/>
  <c r="A32" i="3" s="1"/>
  <c r="D32" i="3" s="1"/>
  <c r="M33" i="3"/>
  <c r="A33" i="3" s="1"/>
  <c r="D33" i="3" s="1"/>
  <c r="M34" i="3"/>
  <c r="A34" i="3" s="1"/>
  <c r="D34" i="3" s="1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6" i="3"/>
  <c r="M6" i="3"/>
  <c r="A6" i="3" s="1"/>
  <c r="D6" i="3" s="1"/>
  <c r="K14" i="3"/>
  <c r="M14" i="3"/>
  <c r="A14" i="3" s="1"/>
  <c r="F14" i="3" s="1"/>
  <c r="K15" i="3"/>
  <c r="M15" i="3"/>
  <c r="A15" i="3" s="1"/>
  <c r="F15" i="3" s="1"/>
  <c r="K16" i="3"/>
  <c r="M16" i="3"/>
  <c r="A16" i="3" s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M3" i="3"/>
  <c r="A3" i="3" s="1"/>
  <c r="D3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6" i="2" s="1"/>
  <c r="A37" i="2" s="1"/>
  <c r="A38" i="2" s="1"/>
  <c r="A39" i="2" s="1"/>
  <c r="A40" i="2" s="1"/>
  <c r="A41" i="2" s="1"/>
  <c r="A42" i="2" s="1"/>
  <c r="A43" i="2" s="1"/>
  <c r="A44" i="2" s="1"/>
  <c r="D69" i="3" l="1"/>
  <c r="E69" i="3"/>
  <c r="F21" i="3"/>
  <c r="F24" i="3"/>
  <c r="F23" i="3"/>
  <c r="F29" i="3"/>
  <c r="B77" i="3"/>
  <c r="I77" i="3" s="1"/>
  <c r="J77" i="3" s="1"/>
  <c r="L77" i="3" s="1"/>
  <c r="B73" i="3"/>
  <c r="I73" i="3" s="1"/>
  <c r="J73" i="3" s="1"/>
  <c r="L73" i="3" s="1"/>
  <c r="B90" i="3"/>
  <c r="I90" i="3" s="1"/>
  <c r="J90" i="3" s="1"/>
  <c r="L90" i="3" s="1"/>
  <c r="B86" i="3"/>
  <c r="I86" i="3" s="1"/>
  <c r="J86" i="3" s="1"/>
  <c r="L86" i="3" s="1"/>
  <c r="B74" i="3"/>
  <c r="I74" i="3" s="1"/>
  <c r="J74" i="3" s="1"/>
  <c r="L74" i="3" s="1"/>
  <c r="B70" i="3"/>
  <c r="I70" i="3" s="1"/>
  <c r="J70" i="3" s="1"/>
  <c r="L70" i="3" s="1"/>
  <c r="B89" i="3"/>
  <c r="I89" i="3" s="1"/>
  <c r="J89" i="3" s="1"/>
  <c r="L89" i="3" s="1"/>
  <c r="B82" i="3"/>
  <c r="I82" i="3" s="1"/>
  <c r="J82" i="3" s="1"/>
  <c r="L82" i="3" s="1"/>
  <c r="G33" i="3"/>
  <c r="G21" i="3"/>
  <c r="B81" i="3"/>
  <c r="I81" i="3" s="1"/>
  <c r="J81" i="3" s="1"/>
  <c r="L81" i="3" s="1"/>
  <c r="F33" i="3"/>
  <c r="B85" i="3"/>
  <c r="I85" i="3" s="1"/>
  <c r="J85" i="3" s="1"/>
  <c r="L85" i="3" s="1"/>
  <c r="B88" i="3"/>
  <c r="I88" i="3" s="1"/>
  <c r="J88" i="3" s="1"/>
  <c r="L88" i="3" s="1"/>
  <c r="B84" i="3"/>
  <c r="I84" i="3" s="1"/>
  <c r="J84" i="3" s="1"/>
  <c r="L84" i="3" s="1"/>
  <c r="B80" i="3"/>
  <c r="I80" i="3" s="1"/>
  <c r="J80" i="3" s="1"/>
  <c r="L80" i="3" s="1"/>
  <c r="B76" i="3"/>
  <c r="I76" i="3" s="1"/>
  <c r="J76" i="3" s="1"/>
  <c r="L76" i="3" s="1"/>
  <c r="B72" i="3"/>
  <c r="I72" i="3" s="1"/>
  <c r="J72" i="3" s="1"/>
  <c r="L72" i="3" s="1"/>
  <c r="B78" i="3"/>
  <c r="I78" i="3" s="1"/>
  <c r="J78" i="3" s="1"/>
  <c r="L78" i="3" s="1"/>
  <c r="G27" i="3"/>
  <c r="F32" i="3"/>
  <c r="G24" i="3"/>
  <c r="G28" i="3"/>
  <c r="G23" i="3"/>
  <c r="B87" i="3"/>
  <c r="I87" i="3" s="1"/>
  <c r="J87" i="3" s="1"/>
  <c r="L87" i="3" s="1"/>
  <c r="B83" i="3"/>
  <c r="I83" i="3" s="1"/>
  <c r="J83" i="3" s="1"/>
  <c r="L83" i="3" s="1"/>
  <c r="B79" i="3"/>
  <c r="I79" i="3" s="1"/>
  <c r="J79" i="3" s="1"/>
  <c r="L79" i="3" s="1"/>
  <c r="B75" i="3"/>
  <c r="I75" i="3" s="1"/>
  <c r="J75" i="3" s="1"/>
  <c r="L75" i="3" s="1"/>
  <c r="B71" i="3"/>
  <c r="I71" i="3" s="1"/>
  <c r="J71" i="3" s="1"/>
  <c r="L71" i="3" s="1"/>
  <c r="F18" i="3"/>
  <c r="F3" i="3"/>
  <c r="E18" i="3"/>
  <c r="G30" i="3"/>
  <c r="G18" i="3"/>
  <c r="F26" i="3"/>
  <c r="F30" i="3"/>
  <c r="G26" i="3"/>
  <c r="F34" i="3"/>
  <c r="G34" i="3"/>
  <c r="G32" i="3"/>
  <c r="F31" i="3"/>
  <c r="G31" i="3"/>
  <c r="G29" i="3"/>
  <c r="D28" i="3"/>
  <c r="F27" i="3"/>
  <c r="G22" i="3"/>
  <c r="F22" i="3"/>
  <c r="G20" i="3"/>
  <c r="E19" i="3"/>
  <c r="G19" i="3"/>
  <c r="F6" i="3"/>
  <c r="F28" i="3"/>
  <c r="E25" i="3"/>
  <c r="F25" i="3"/>
  <c r="F20" i="3"/>
  <c r="F19" i="3"/>
  <c r="E34" i="3"/>
  <c r="E33" i="3"/>
  <c r="D24" i="3"/>
  <c r="E20" i="3"/>
  <c r="E32" i="3"/>
  <c r="D23" i="3"/>
  <c r="E30" i="3"/>
  <c r="E31" i="3"/>
  <c r="D21" i="3"/>
  <c r="E22" i="3"/>
  <c r="E29" i="3"/>
  <c r="D27" i="3"/>
  <c r="D26" i="3"/>
  <c r="D25" i="3"/>
  <c r="K3" i="3"/>
  <c r="D15" i="3"/>
  <c r="G15" i="3"/>
  <c r="D16" i="3"/>
  <c r="E16" i="3"/>
  <c r="G14" i="3"/>
  <c r="D14" i="3"/>
  <c r="G16" i="3"/>
  <c r="F16" i="3"/>
  <c r="G6" i="3"/>
  <c r="E6" i="3"/>
  <c r="E15" i="3"/>
  <c r="E14" i="3"/>
  <c r="C69" i="3" l="1"/>
  <c r="B69" i="3" s="1"/>
  <c r="I69" i="3" s="1"/>
  <c r="J69" i="3" s="1"/>
  <c r="L69" i="3" s="1"/>
  <c r="C33" i="3"/>
  <c r="B33" i="3" s="1"/>
  <c r="J35" i="2" s="1"/>
  <c r="C21" i="3"/>
  <c r="B21" i="3" s="1"/>
  <c r="I21" i="3" s="1"/>
  <c r="J21" i="3" s="1"/>
  <c r="C28" i="3"/>
  <c r="B28" i="3" s="1"/>
  <c r="J30" i="2" s="1"/>
  <c r="C23" i="3"/>
  <c r="B23" i="3" s="1"/>
  <c r="J25" i="2" s="1"/>
  <c r="C27" i="3"/>
  <c r="B27" i="3" s="1"/>
  <c r="J29" i="2" s="1"/>
  <c r="C26" i="3"/>
  <c r="B26" i="3" s="1"/>
  <c r="J28" i="2" s="1"/>
  <c r="C31" i="3"/>
  <c r="B31" i="3" s="1"/>
  <c r="I31" i="3" s="1"/>
  <c r="K33" i="2" s="1"/>
  <c r="C32" i="3"/>
  <c r="B32" i="3" s="1"/>
  <c r="J34" i="2" s="1"/>
  <c r="C19" i="3"/>
  <c r="B19" i="3" s="1"/>
  <c r="J21" i="2" s="1"/>
  <c r="C18" i="3"/>
  <c r="B18" i="3" s="1"/>
  <c r="J20" i="2" s="1"/>
  <c r="C24" i="3"/>
  <c r="B24" i="3" s="1"/>
  <c r="J26" i="2" s="1"/>
  <c r="C22" i="3"/>
  <c r="B22" i="3" s="1"/>
  <c r="J24" i="2" s="1"/>
  <c r="C29" i="3"/>
  <c r="B29" i="3" s="1"/>
  <c r="J31" i="2" s="1"/>
  <c r="C30" i="3"/>
  <c r="B30" i="3" s="1"/>
  <c r="J32" i="2" s="1"/>
  <c r="C34" i="3"/>
  <c r="B34" i="3" s="1"/>
  <c r="J36" i="2" s="1"/>
  <c r="C20" i="3"/>
  <c r="B20" i="3" s="1"/>
  <c r="J22" i="2" s="1"/>
  <c r="C25" i="3"/>
  <c r="B25" i="3" s="1"/>
  <c r="J27" i="2" s="1"/>
  <c r="C16" i="3"/>
  <c r="B16" i="3" s="1"/>
  <c r="C15" i="3"/>
  <c r="B15" i="3" s="1"/>
  <c r="C6" i="3"/>
  <c r="B6" i="3" s="1"/>
  <c r="J8" i="2" s="1"/>
  <c r="C14" i="3"/>
  <c r="B14" i="3" s="1"/>
  <c r="E3" i="3"/>
  <c r="G3" i="3"/>
  <c r="I28" i="3" l="1"/>
  <c r="K30" i="2" s="1"/>
  <c r="I32" i="3"/>
  <c r="J32" i="3" s="1"/>
  <c r="L34" i="2" s="1"/>
  <c r="I33" i="3"/>
  <c r="J33" i="3" s="1"/>
  <c r="I19" i="3"/>
  <c r="K21" i="2" s="1"/>
  <c r="J23" i="2"/>
  <c r="I20" i="3"/>
  <c r="J20" i="3" s="1"/>
  <c r="L22" i="2" s="1"/>
  <c r="I26" i="3"/>
  <c r="J26" i="3" s="1"/>
  <c r="L28" i="2" s="1"/>
  <c r="I23" i="3"/>
  <c r="J23" i="3" s="1"/>
  <c r="L23" i="3" s="1"/>
  <c r="M25" i="2" s="1"/>
  <c r="I30" i="3"/>
  <c r="J30" i="3" s="1"/>
  <c r="L32" i="2" s="1"/>
  <c r="I27" i="3"/>
  <c r="K29" i="2" s="1"/>
  <c r="I24" i="3"/>
  <c r="I29" i="3"/>
  <c r="K31" i="2" s="1"/>
  <c r="J33" i="2"/>
  <c r="I18" i="3"/>
  <c r="K20" i="2" s="1"/>
  <c r="J38" i="2"/>
  <c r="I22" i="3"/>
  <c r="K24" i="2" s="1"/>
  <c r="J37" i="2"/>
  <c r="I34" i="3"/>
  <c r="J34" i="3" s="1"/>
  <c r="K23" i="2"/>
  <c r="K37" i="2"/>
  <c r="I25" i="3"/>
  <c r="J25" i="3" s="1"/>
  <c r="L25" i="3" s="1"/>
  <c r="M27" i="2" s="1"/>
  <c r="K38" i="2"/>
  <c r="J31" i="3"/>
  <c r="L33" i="2" s="1"/>
  <c r="L21" i="3"/>
  <c r="M23" i="2" s="1"/>
  <c r="L23" i="2"/>
  <c r="C3" i="3"/>
  <c r="B3" i="3" s="1"/>
  <c r="J5" i="2" s="1"/>
  <c r="I16" i="3"/>
  <c r="J16" i="3" s="1"/>
  <c r="J17" i="2"/>
  <c r="I15" i="3"/>
  <c r="J15" i="3" s="1"/>
  <c r="L15" i="3" s="1"/>
  <c r="M17" i="2" s="1"/>
  <c r="J16" i="2"/>
  <c r="I14" i="3"/>
  <c r="J14" i="3" s="1"/>
  <c r="L14" i="3" s="1"/>
  <c r="M16" i="2" s="1"/>
  <c r="J18" i="2"/>
  <c r="I6" i="3"/>
  <c r="J6" i="3" s="1"/>
  <c r="L6" i="3" s="1"/>
  <c r="M8" i="2" s="1"/>
  <c r="J28" i="3" l="1"/>
  <c r="L30" i="2" s="1"/>
  <c r="J19" i="3"/>
  <c r="L21" i="2" s="1"/>
  <c r="L32" i="3"/>
  <c r="M34" i="2" s="1"/>
  <c r="K34" i="2"/>
  <c r="K32" i="2"/>
  <c r="L20" i="3"/>
  <c r="M22" i="2" s="1"/>
  <c r="L26" i="3"/>
  <c r="M28" i="2" s="1"/>
  <c r="K28" i="2"/>
  <c r="K22" i="2"/>
  <c r="L30" i="3"/>
  <c r="M32" i="2" s="1"/>
  <c r="K35" i="2"/>
  <c r="J27" i="3"/>
  <c r="L29" i="2" s="1"/>
  <c r="L25" i="2"/>
  <c r="K25" i="2"/>
  <c r="J29" i="3"/>
  <c r="L31" i="2" s="1"/>
  <c r="J18" i="3"/>
  <c r="L18" i="3" s="1"/>
  <c r="M20" i="2" s="1"/>
  <c r="J24" i="3"/>
  <c r="K26" i="2"/>
  <c r="K36" i="2"/>
  <c r="J22" i="3"/>
  <c r="M37" i="2"/>
  <c r="L37" i="2"/>
  <c r="L34" i="3"/>
  <c r="M36" i="2" s="1"/>
  <c r="L36" i="2"/>
  <c r="L33" i="3"/>
  <c r="M35" i="2" s="1"/>
  <c r="L35" i="2"/>
  <c r="L31" i="3"/>
  <c r="M33" i="2" s="1"/>
  <c r="K27" i="2"/>
  <c r="L27" i="2"/>
  <c r="M38" i="2"/>
  <c r="L38" i="2"/>
  <c r="K18" i="2"/>
  <c r="L16" i="3"/>
  <c r="M18" i="2" s="1"/>
  <c r="L18" i="2"/>
  <c r="K16" i="2"/>
  <c r="K8" i="2"/>
  <c r="K17" i="2"/>
  <c r="I3" i="3"/>
  <c r="H2" i="3"/>
  <c r="L28" i="3" l="1"/>
  <c r="M30" i="2" s="1"/>
  <c r="L19" i="3"/>
  <c r="M21" i="2" s="1"/>
  <c r="L20" i="2"/>
  <c r="L29" i="3"/>
  <c r="M31" i="2" s="1"/>
  <c r="L27" i="3"/>
  <c r="M29" i="2" s="1"/>
  <c r="L26" i="2"/>
  <c r="L24" i="3"/>
  <c r="M26" i="2" s="1"/>
  <c r="L24" i="2"/>
  <c r="L22" i="3"/>
  <c r="M24" i="2" s="1"/>
  <c r="K5" i="2"/>
  <c r="J3" i="3"/>
  <c r="L3" i="3" s="1"/>
  <c r="M5" i="2" s="1"/>
  <c r="L8" i="2"/>
  <c r="L16" i="2"/>
  <c r="L17" i="2"/>
  <c r="L5" i="2" l="1"/>
  <c r="M7" i="3" l="1"/>
  <c r="A7" i="3" s="1"/>
  <c r="K7" i="3"/>
  <c r="M11" i="3"/>
  <c r="A11" i="3" s="1"/>
  <c r="K11" i="3"/>
  <c r="M5" i="3"/>
  <c r="A5" i="3" s="1"/>
  <c r="K5" i="3"/>
  <c r="K10" i="3"/>
  <c r="M10" i="3"/>
  <c r="A10" i="3" s="1"/>
  <c r="M17" i="3"/>
  <c r="A17" i="3" s="1"/>
  <c r="K17" i="3"/>
  <c r="K4" i="3"/>
  <c r="M4" i="3"/>
  <c r="A4" i="3" s="1"/>
  <c r="M9" i="3"/>
  <c r="A9" i="3" s="1"/>
  <c r="K9" i="3"/>
  <c r="M13" i="3"/>
  <c r="A13" i="3" s="1"/>
  <c r="K13" i="3"/>
  <c r="K8" i="3"/>
  <c r="M8" i="3"/>
  <c r="A8" i="3" s="1"/>
  <c r="D8" i="3" s="1"/>
  <c r="K12" i="3"/>
  <c r="M12" i="3"/>
  <c r="A12" i="3" s="1"/>
  <c r="M2" i="3"/>
  <c r="G13" i="3" l="1"/>
  <c r="E13" i="3"/>
  <c r="F13" i="3"/>
  <c r="G10" i="3"/>
  <c r="E10" i="3"/>
  <c r="F10" i="3"/>
  <c r="G7" i="3"/>
  <c r="E7" i="3"/>
  <c r="F7" i="3"/>
  <c r="D4" i="3"/>
  <c r="G4" i="3"/>
  <c r="E4" i="3"/>
  <c r="F4" i="3"/>
  <c r="D5" i="3"/>
  <c r="E5" i="3"/>
  <c r="G5" i="3"/>
  <c r="F5" i="3"/>
  <c r="D9" i="3"/>
  <c r="G9" i="3"/>
  <c r="E9" i="3"/>
  <c r="F9" i="3"/>
  <c r="D17" i="3"/>
  <c r="F17" i="3"/>
  <c r="G17" i="3"/>
  <c r="E17" i="3"/>
  <c r="D10" i="3"/>
  <c r="D13" i="3"/>
  <c r="D7" i="3"/>
  <c r="G8" i="3"/>
  <c r="E8" i="3"/>
  <c r="F8" i="3"/>
  <c r="D12" i="3"/>
  <c r="G12" i="3"/>
  <c r="E12" i="3"/>
  <c r="F12" i="3"/>
  <c r="D11" i="3"/>
  <c r="G11" i="3"/>
  <c r="E11" i="3"/>
  <c r="F11" i="3"/>
  <c r="A2" i="3"/>
  <c r="K2" i="3"/>
  <c r="C8" i="3" l="1"/>
  <c r="B8" i="3" s="1"/>
  <c r="I8" i="3" s="1"/>
  <c r="C10" i="3"/>
  <c r="B10" i="3" s="1"/>
  <c r="C12" i="3"/>
  <c r="B12" i="3" s="1"/>
  <c r="C7" i="3"/>
  <c r="B7" i="3" s="1"/>
  <c r="C9" i="3"/>
  <c r="B9" i="3" s="1"/>
  <c r="C4" i="3"/>
  <c r="B4" i="3" s="1"/>
  <c r="C11" i="3"/>
  <c r="B11" i="3" s="1"/>
  <c r="C17" i="3"/>
  <c r="B17" i="3" s="1"/>
  <c r="C5" i="3"/>
  <c r="B5" i="3" s="1"/>
  <c r="C13" i="3"/>
  <c r="B13" i="3" s="1"/>
  <c r="G2" i="3"/>
  <c r="F2" i="3"/>
  <c r="D2" i="3"/>
  <c r="E2" i="3"/>
  <c r="J10" i="2" l="1"/>
  <c r="I17" i="3"/>
  <c r="J19" i="2"/>
  <c r="J9" i="2"/>
  <c r="I7" i="3"/>
  <c r="J7" i="2"/>
  <c r="I5" i="3"/>
  <c r="J11" i="2"/>
  <c r="I9" i="3"/>
  <c r="J8" i="3"/>
  <c r="K10" i="2"/>
  <c r="J15" i="2"/>
  <c r="I13" i="3"/>
  <c r="J6" i="2"/>
  <c r="I4" i="3"/>
  <c r="J12" i="2"/>
  <c r="I10" i="3"/>
  <c r="J13" i="2"/>
  <c r="I11" i="3"/>
  <c r="J14" i="2"/>
  <c r="I12" i="3"/>
  <c r="C2" i="3"/>
  <c r="B2" i="3" s="1"/>
  <c r="J4" i="2" s="1"/>
  <c r="J4" i="3" l="1"/>
  <c r="K6" i="2"/>
  <c r="J12" i="3"/>
  <c r="K14" i="2"/>
  <c r="J10" i="3"/>
  <c r="K12" i="2"/>
  <c r="J13" i="3"/>
  <c r="K15" i="2"/>
  <c r="J7" i="3"/>
  <c r="K9" i="2"/>
  <c r="L8" i="3"/>
  <c r="M10" i="2" s="1"/>
  <c r="L10" i="2"/>
  <c r="J17" i="3"/>
  <c r="K19" i="2"/>
  <c r="J11" i="3"/>
  <c r="K13" i="2"/>
  <c r="J5" i="3"/>
  <c r="K7" i="2"/>
  <c r="J9" i="3"/>
  <c r="K11" i="2"/>
  <c r="I2" i="3"/>
  <c r="L9" i="3" l="1"/>
  <c r="M11" i="2" s="1"/>
  <c r="L11" i="2"/>
  <c r="L13" i="3"/>
  <c r="M15" i="2" s="1"/>
  <c r="L15" i="2"/>
  <c r="L5" i="3"/>
  <c r="M7" i="2" s="1"/>
  <c r="L7" i="2"/>
  <c r="L17" i="3"/>
  <c r="M19" i="2" s="1"/>
  <c r="L19" i="2"/>
  <c r="L7" i="3"/>
  <c r="M9" i="2" s="1"/>
  <c r="L9" i="2"/>
  <c r="L10" i="3"/>
  <c r="M12" i="2" s="1"/>
  <c r="L12" i="2"/>
  <c r="L4" i="3"/>
  <c r="M6" i="2" s="1"/>
  <c r="L6" i="2"/>
  <c r="L11" i="3"/>
  <c r="M13" i="2" s="1"/>
  <c r="L13" i="2"/>
  <c r="L12" i="3"/>
  <c r="M14" i="2" s="1"/>
  <c r="L14" i="2"/>
  <c r="J2" i="3"/>
  <c r="L2" i="3" s="1"/>
  <c r="K4" i="2"/>
  <c r="L4" i="2" l="1"/>
  <c r="M4" i="2"/>
  <c r="M45" i="2" s="1"/>
  <c r="M47" i="2" s="1"/>
  <c r="M46" i="2" s="1"/>
  <c r="P2" i="3" l="1"/>
  <c r="P4" i="3" l="1"/>
</calcChain>
</file>

<file path=xl/sharedStrings.xml><?xml version="1.0" encoding="utf-8"?>
<sst xmlns="http://schemas.openxmlformats.org/spreadsheetml/2006/main" count="118" uniqueCount="83">
  <si>
    <t>Средняя цена</t>
  </si>
  <si>
    <t>Среднее квадратичное отклонение</t>
  </si>
  <si>
    <t>числитель под корнем</t>
  </si>
  <si>
    <t xml:space="preserve">Числитель по позициям </t>
  </si>
  <si>
    <t>Решение о цене</t>
  </si>
  <si>
    <t>Коэффициент вариации</t>
  </si>
  <si>
    <t>НМЦ позиции</t>
  </si>
  <si>
    <t>№ п/п</t>
  </si>
  <si>
    <t>минимальная цена</t>
  </si>
  <si>
    <t xml:space="preserve">Количество предложений </t>
  </si>
  <si>
    <t>Наименование Продукции</t>
  </si>
  <si>
    <t>Количество Продукции</t>
  </si>
  <si>
    <t>НМЦ закупки без НДС</t>
  </si>
  <si>
    <t>НМЦ закупки с НДС</t>
  </si>
  <si>
    <t>Расчет НМЦ</t>
  </si>
  <si>
    <t>Ед. измерения</t>
  </si>
  <si>
    <t>Принимаемая цена, руб.</t>
  </si>
  <si>
    <t>м</t>
  </si>
  <si>
    <t>НМЦ позиции (руб., без НДС)</t>
  </si>
  <si>
    <t>кг</t>
  </si>
  <si>
    <t xml:space="preserve">воронка  ливневой канализации </t>
  </si>
  <si>
    <t>шт.</t>
  </si>
  <si>
    <t>Жесткая теплоизоляция из каменной ваты  1200*600*100 плотность -не менее 150кг/м3</t>
  </si>
  <si>
    <t>М3</t>
  </si>
  <si>
    <t>Жесткая теплоизоляция из каменной ваты  1200*600*100 плотность -от 90 до 120 кг/м3</t>
  </si>
  <si>
    <t>м3</t>
  </si>
  <si>
    <t>Жесткая теплоизоляция из каменной ваты  1200*600*100 плотность -не менее 140кг/м3</t>
  </si>
  <si>
    <t>Уголок перфорированный  3000*25*25   углозащитный</t>
  </si>
  <si>
    <t>Плинтус   ПВХ с кабель-каналом (2,5м)</t>
  </si>
  <si>
    <t xml:space="preserve">Соединитель для плинтуса ПВХ </t>
  </si>
  <si>
    <t>Угол наружный для плинтуса ПВХ</t>
  </si>
  <si>
    <t>Угол  внутренний для плинтуса ПВХ</t>
  </si>
  <si>
    <t>Заглушка торцевая ,левая для плинтуса ПВХ</t>
  </si>
  <si>
    <t>Заглушка торцевая , правая для плинтуса ПВХ</t>
  </si>
  <si>
    <t>Порог-стык 1,35 м</t>
  </si>
  <si>
    <t xml:space="preserve">Терморазделяющая полоса УПТП 45*30000 </t>
  </si>
  <si>
    <t>п.м</t>
  </si>
  <si>
    <t>Уплотнитель сэндвич горизон-тальный УПСГ 10*30000</t>
  </si>
  <si>
    <t>Уплотнитель сэндвич – цоколь  УПСЦ 10*100*25000</t>
  </si>
  <si>
    <t>Уплотнитель колонна -сэндвич УПКС 15*30*620</t>
  </si>
  <si>
    <t>Элемент жесткости  МП ЭЖ-100*98*3000</t>
  </si>
  <si>
    <t xml:space="preserve">Элемент обрамления МО ЭО-100*25*3000 
Элемент обрам-ления МО ЭО-100*25*3000 
Элемент обрам-ления МО ЭО-100*25*3000 
</t>
  </si>
  <si>
    <t xml:space="preserve">Лист плоский ОЦ Б-ПН-О-0,7
RAL 9003
Лист плоский ОЦ Б-ПН-О-0,7
RAL 9003
</t>
  </si>
  <si>
    <t xml:space="preserve">Планка угла внутреннего (ПУВ – 50*50*2000) RAL 9003  
RAL 9003
</t>
  </si>
  <si>
    <t xml:space="preserve">Планка угла наружного (ПУН – 115*115*2000) RAL 9003  </t>
  </si>
  <si>
    <t>Профлист 
МП-20*1100*0,7 RAL 9003 
Профлист 
МП-20*1100*0,7 RAL 9003 
Профлист 
МП-20*1100*0,7 RAL 9003 
МП-20*1100*0,7 RAL 9003 
МП-20*1100*0,7 RAL 9003 
Профлист 
МП-20*1100*0,7 RAL 9003</t>
  </si>
  <si>
    <t>Плита ДСП 3500*1750*16 мм</t>
  </si>
  <si>
    <t>м2</t>
  </si>
  <si>
    <t>Планка L - об-разная стартовая  ПВХ  3м</t>
  </si>
  <si>
    <t>Кирпич силикатный М150</t>
  </si>
  <si>
    <t>Портландцемент М 500 (сульфато-стойкий)</t>
  </si>
  <si>
    <t xml:space="preserve">Смесь гидроизоляционная </t>
  </si>
  <si>
    <t>Штукатурка цементная универсальная толстослойная</t>
  </si>
  <si>
    <t>Кровельный и гидроизоляционный битумнополимерный рулонный наплавляемый  материал  ЭКП</t>
  </si>
  <si>
    <t>Кровельный и гидроизоляционный битумнополимерный рулонный наплавляемый  материал ЭПП</t>
  </si>
  <si>
    <t>Праймер битумный</t>
  </si>
  <si>
    <t>Мастика кровельная</t>
  </si>
  <si>
    <t>Скорлупа ППУ 57/50мм</t>
  </si>
  <si>
    <t>Скорлупа ППУ 108/50мм</t>
  </si>
  <si>
    <t>Скорлупа ППУ 89/50мм</t>
  </si>
  <si>
    <t>поставщик №1 ( за единицу товара без   НДС, руб.) (вх. №844/801от 17.08.21г.)</t>
  </si>
  <si>
    <t>поставщик №2 ( за единицу товара без  НДС, руб.) (вх. №843/801от 17.08.21г.)</t>
  </si>
  <si>
    <t>поставщик №3 ( за единицу товара без НДС, руб.) (вх. №846/801от 18.08.21г.)</t>
  </si>
  <si>
    <t xml:space="preserve">Грунтовка глубокого проникновения  </t>
  </si>
  <si>
    <t xml:space="preserve">Шпаклевка финишная </t>
  </si>
  <si>
    <t xml:space="preserve">Штукатурка гипсовая  </t>
  </si>
  <si>
    <t xml:space="preserve">Штукатурка  цементная </t>
  </si>
  <si>
    <t>комп.</t>
  </si>
  <si>
    <t xml:space="preserve">               Начальник отдела № 801                                                                                                                                                                 М.А. Рыбянцев</t>
  </si>
  <si>
    <t>ИТОГО</t>
  </si>
  <si>
    <t>НДС</t>
  </si>
  <si>
    <t>с    НДС</t>
  </si>
  <si>
    <t xml:space="preserve"> без  НДС</t>
  </si>
  <si>
    <t>уп.</t>
  </si>
  <si>
    <t>Сэндвич-профиль МП СП-100*595 (18 шт.)</t>
  </si>
  <si>
    <t>Сэндвич-профиль  начальный МП СПН 595-100 (3 шт.)</t>
  </si>
  <si>
    <t>Вывод: НМЦ   договора  принимается в размере   2  622 527,81руб.(с НДС 20%)</t>
  </si>
  <si>
    <t>кол-во</t>
  </si>
  <si>
    <t>цена с ндс</t>
  </si>
  <si>
    <t>сумма с ндс</t>
  </si>
  <si>
    <t>ндс</t>
  </si>
  <si>
    <t>цена бз ндс за ед.</t>
  </si>
  <si>
    <t xml:space="preserve">суммма без ндс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</si>
</sst>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2" tint="-0.49998474074526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2" tint="-0.749992370372631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color theme="3" tint="-0.499984740745262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color theme="2" tint="-0.89999084444715716"/>
      <name val="Times New Roman"/>
      <family val="1"/>
      <charset val="204"/>
    </font>
    <font>
      <sz val="13"/>
      <color theme="1" tint="4.9989318521683403E-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6" xfId="0" applyFill="1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0" xfId="0" applyNumberFormat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0" fillId="2" borderId="0" xfId="0" applyFill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5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 wrapText="1"/>
    </xf>
    <xf numFmtId="2" fontId="4" fillId="2" borderId="7" xfId="0" applyNumberFormat="1" applyFont="1" applyFill="1" applyBorder="1" applyAlignment="1">
      <alignment vertical="top" wrapText="1"/>
    </xf>
    <xf numFmtId="2" fontId="7" fillId="2" borderId="7" xfId="0" applyNumberFormat="1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3" borderId="7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vertical="top" wrapText="1"/>
    </xf>
    <xf numFmtId="0" fontId="13" fillId="3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1" fontId="4" fillId="2" borderId="6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vertical="top" wrapText="1"/>
    </xf>
    <xf numFmtId="2" fontId="7" fillId="2" borderId="12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2" fontId="0" fillId="0" borderId="0" xfId="0" applyNumberFormat="1" applyBorder="1"/>
    <xf numFmtId="2" fontId="5" fillId="0" borderId="7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/>
    <xf numFmtId="0" fontId="8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/>
    <xf numFmtId="2" fontId="3" fillId="0" borderId="5" xfId="0" applyNumberFormat="1" applyFont="1" applyBorder="1" applyAlignment="1">
      <alignment horizontal="center" vertical="center"/>
    </xf>
    <xf numFmtId="2" fontId="0" fillId="2" borderId="5" xfId="0" applyNumberFormat="1" applyFill="1" applyBorder="1"/>
    <xf numFmtId="2" fontId="17" fillId="3" borderId="14" xfId="0" applyNumberFormat="1" applyFont="1" applyFill="1" applyBorder="1" applyAlignment="1">
      <alignment horizontal="right" vertical="center"/>
    </xf>
    <xf numFmtId="2" fontId="17" fillId="3" borderId="11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top" wrapText="1"/>
    </xf>
    <xf numFmtId="2" fontId="0" fillId="2" borderId="16" xfId="0" applyNumberFormat="1" applyFill="1" applyBorder="1"/>
    <xf numFmtId="0" fontId="0" fillId="2" borderId="15" xfId="0" applyFill="1" applyBorder="1"/>
    <xf numFmtId="2" fontId="0" fillId="2" borderId="15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abSelected="1" workbookViewId="0">
      <selection activeCell="S58" sqref="S58:S101"/>
    </sheetView>
  </sheetViews>
  <sheetFormatPr defaultRowHeight="15" x14ac:dyDescent="0.25"/>
  <cols>
    <col min="1" max="1" width="4.5703125" customWidth="1"/>
    <col min="2" max="2" width="35.42578125" customWidth="1"/>
    <col min="3" max="3" width="11.85546875" style="12" customWidth="1"/>
    <col min="4" max="4" width="6" style="12" customWidth="1"/>
    <col min="5" max="5" width="11.85546875" style="12" customWidth="1"/>
    <col min="6" max="6" width="13.7109375" style="12" customWidth="1"/>
    <col min="7" max="7" width="14.85546875" style="12" customWidth="1"/>
    <col min="8" max="8" width="0.28515625" style="12" customWidth="1"/>
    <col min="9" max="9" width="0.140625" hidden="1" customWidth="1"/>
    <col min="10" max="10" width="14" customWidth="1"/>
    <col min="11" max="11" width="13.5703125" customWidth="1"/>
    <col min="12" max="12" width="13.28515625" customWidth="1"/>
    <col min="13" max="13" width="15" style="9" customWidth="1"/>
    <col min="16" max="16" width="14.42578125" customWidth="1"/>
    <col min="17" max="17" width="13.5703125" style="9" customWidth="1"/>
    <col min="19" max="19" width="15.140625" style="9" customWidth="1"/>
    <col min="20" max="20" width="12.7109375" style="9" customWidth="1"/>
  </cols>
  <sheetData>
    <row r="1" spans="1:20" ht="18.75" x14ac:dyDescent="0.3">
      <c r="B1" s="56"/>
      <c r="C1" s="56"/>
      <c r="D1" s="23"/>
      <c r="E1" s="15"/>
      <c r="F1" s="57" t="s">
        <v>14</v>
      </c>
      <c r="G1" s="56"/>
      <c r="H1" s="56"/>
      <c r="I1" s="56"/>
      <c r="J1" s="56"/>
      <c r="K1" s="56"/>
      <c r="L1" s="3"/>
      <c r="M1" s="51"/>
      <c r="N1" s="3"/>
    </row>
    <row r="2" spans="1:20" ht="15.75" thickBot="1" x14ac:dyDescent="0.3">
      <c r="B2" s="10"/>
      <c r="C2" s="23"/>
      <c r="D2" s="23"/>
      <c r="E2" s="15"/>
      <c r="F2" s="15"/>
      <c r="G2" s="15"/>
      <c r="H2" s="15"/>
      <c r="I2" s="3"/>
      <c r="J2" s="3"/>
      <c r="K2" s="3"/>
      <c r="L2" s="3"/>
      <c r="M2" s="51"/>
      <c r="N2" s="3"/>
    </row>
    <row r="3" spans="1:20" s="14" customFormat="1" ht="108.75" thickBot="1" x14ac:dyDescent="0.3">
      <c r="A3" s="16" t="s">
        <v>7</v>
      </c>
      <c r="B3" s="16" t="s">
        <v>10</v>
      </c>
      <c r="C3" s="17" t="s">
        <v>11</v>
      </c>
      <c r="D3" s="17" t="s">
        <v>15</v>
      </c>
      <c r="E3" s="17" t="s">
        <v>60</v>
      </c>
      <c r="F3" s="17" t="s">
        <v>61</v>
      </c>
      <c r="G3" s="17" t="s">
        <v>62</v>
      </c>
      <c r="H3" s="17"/>
      <c r="I3" s="16"/>
      <c r="J3" s="16" t="s">
        <v>1</v>
      </c>
      <c r="K3" s="16" t="s">
        <v>5</v>
      </c>
      <c r="L3" s="18" t="s">
        <v>16</v>
      </c>
      <c r="M3" s="52" t="s">
        <v>18</v>
      </c>
      <c r="N3" s="13"/>
      <c r="O3" s="64" t="s">
        <v>77</v>
      </c>
      <c r="P3" s="64" t="s">
        <v>81</v>
      </c>
      <c r="Q3" s="74" t="s">
        <v>82</v>
      </c>
      <c r="R3" s="64" t="s">
        <v>78</v>
      </c>
      <c r="S3" s="72" t="s">
        <v>79</v>
      </c>
      <c r="T3" s="72" t="s">
        <v>80</v>
      </c>
    </row>
    <row r="4" spans="1:20" s="12" customFormat="1" ht="28.5" customHeight="1" thickBot="1" x14ac:dyDescent="0.3">
      <c r="A4" s="19">
        <v>1</v>
      </c>
      <c r="B4" s="24" t="s">
        <v>20</v>
      </c>
      <c r="C4" s="27">
        <v>8</v>
      </c>
      <c r="D4" s="20" t="s">
        <v>21</v>
      </c>
      <c r="E4" s="21">
        <v>5462.5</v>
      </c>
      <c r="F4" s="21">
        <v>5467</v>
      </c>
      <c r="G4" s="21">
        <v>6500</v>
      </c>
      <c r="H4" s="21"/>
      <c r="I4" s="21"/>
      <c r="J4" s="21">
        <f>Лист3!B2</f>
        <v>488.02</v>
      </c>
      <c r="K4" s="21">
        <f>Лист3!I2</f>
        <v>0.08</v>
      </c>
      <c r="L4" s="21">
        <f>Лист3!J2</f>
        <v>5462.5</v>
      </c>
      <c r="M4" s="21">
        <f>Лист3!L2</f>
        <v>43700</v>
      </c>
      <c r="O4" s="66">
        <v>8</v>
      </c>
      <c r="P4" s="21">
        <f>L4</f>
        <v>5462.5</v>
      </c>
      <c r="Q4" s="75">
        <f>O4*P4</f>
        <v>43700</v>
      </c>
      <c r="R4" s="65">
        <f>P4*1.2</f>
        <v>6555</v>
      </c>
      <c r="S4" s="73">
        <f>R4*O4</f>
        <v>52440</v>
      </c>
      <c r="T4" s="73">
        <f>S4-Q4</f>
        <v>8740</v>
      </c>
    </row>
    <row r="5" spans="1:20" s="12" customFormat="1" ht="51.75" customHeight="1" thickBot="1" x14ac:dyDescent="0.3">
      <c r="A5" s="19">
        <f>A4+1</f>
        <v>2</v>
      </c>
      <c r="B5" s="25" t="s">
        <v>22</v>
      </c>
      <c r="C5" s="26">
        <v>0.86</v>
      </c>
      <c r="D5" s="28" t="s">
        <v>23</v>
      </c>
      <c r="E5" s="21">
        <v>19417.5</v>
      </c>
      <c r="F5" s="21">
        <v>16276</v>
      </c>
      <c r="G5" s="21">
        <v>25000</v>
      </c>
      <c r="H5" s="21"/>
      <c r="I5" s="21"/>
      <c r="J5" s="21">
        <f>Лист3!B3</f>
        <v>3607.73</v>
      </c>
      <c r="K5" s="21">
        <f>Лист3!I3</f>
        <v>0.18</v>
      </c>
      <c r="L5" s="21">
        <f>Лист3!J3</f>
        <v>16276</v>
      </c>
      <c r="M5" s="21">
        <f>Лист3!L3</f>
        <v>13997.36</v>
      </c>
      <c r="O5" s="67">
        <v>0.86</v>
      </c>
      <c r="P5" s="21">
        <f t="shared" ref="P5:P44" si="0">L5</f>
        <v>16276</v>
      </c>
      <c r="Q5" s="75">
        <f t="shared" ref="Q5:Q44" si="1">O5*P5</f>
        <v>13997.36</v>
      </c>
      <c r="R5" s="65">
        <f t="shared" ref="R5:R44" si="2">P5*1.2</f>
        <v>19531.2</v>
      </c>
      <c r="S5" s="73">
        <f t="shared" ref="S5:S44" si="3">R5*O5</f>
        <v>16796.832000000002</v>
      </c>
      <c r="T5" s="73">
        <f t="shared" ref="T5:T44" si="4">S5-Q5</f>
        <v>2799.4720000000016</v>
      </c>
    </row>
    <row r="6" spans="1:20" s="12" customFormat="1" ht="57.75" customHeight="1" thickBot="1" x14ac:dyDescent="0.3">
      <c r="A6" s="19">
        <f t="shared" ref="A6:A44" si="5">A5+1</f>
        <v>3</v>
      </c>
      <c r="B6" s="29" t="s">
        <v>24</v>
      </c>
      <c r="C6" s="26">
        <v>7.34</v>
      </c>
      <c r="D6" s="20" t="s">
        <v>25</v>
      </c>
      <c r="E6" s="21">
        <v>16280.65</v>
      </c>
      <c r="F6" s="22">
        <v>15900</v>
      </c>
      <c r="G6" s="21">
        <v>19550</v>
      </c>
      <c r="H6" s="21"/>
      <c r="I6" s="21"/>
      <c r="J6" s="21">
        <f>Лист3!B4</f>
        <v>1638.29</v>
      </c>
      <c r="K6" s="21">
        <f>Лист3!I4</f>
        <v>0.1</v>
      </c>
      <c r="L6" s="21">
        <f>Лист3!J4</f>
        <v>15900</v>
      </c>
      <c r="M6" s="21">
        <f>Лист3!L4</f>
        <v>116706</v>
      </c>
      <c r="O6" s="67">
        <v>7.34</v>
      </c>
      <c r="P6" s="21">
        <f t="shared" si="0"/>
        <v>15900</v>
      </c>
      <c r="Q6" s="75">
        <f t="shared" si="1"/>
        <v>116706</v>
      </c>
      <c r="R6" s="65">
        <f t="shared" si="2"/>
        <v>19080</v>
      </c>
      <c r="S6" s="73">
        <f t="shared" si="3"/>
        <v>140047.20000000001</v>
      </c>
      <c r="T6" s="73">
        <f t="shared" si="4"/>
        <v>23341.200000000012</v>
      </c>
    </row>
    <row r="7" spans="1:20" s="12" customFormat="1" ht="50.25" thickBot="1" x14ac:dyDescent="0.3">
      <c r="A7" s="19">
        <f t="shared" si="5"/>
        <v>4</v>
      </c>
      <c r="B7" s="30" t="s">
        <v>26</v>
      </c>
      <c r="C7" s="31">
        <v>10.15</v>
      </c>
      <c r="D7" s="32" t="s">
        <v>25</v>
      </c>
      <c r="E7" s="21">
        <v>14500</v>
      </c>
      <c r="F7" s="21">
        <v>16000</v>
      </c>
      <c r="G7" s="21">
        <v>15000</v>
      </c>
      <c r="H7" s="21"/>
      <c r="I7" s="21"/>
      <c r="J7" s="21">
        <f>Лист3!B5</f>
        <v>623.61</v>
      </c>
      <c r="K7" s="21">
        <f>Лист3!I5</f>
        <v>0.04</v>
      </c>
      <c r="L7" s="21">
        <f>Лист3!J5</f>
        <v>15166.666666666666</v>
      </c>
      <c r="M7" s="21">
        <f>Лист3!L5</f>
        <v>153941.67000000001</v>
      </c>
      <c r="O7" s="68">
        <v>10.15</v>
      </c>
      <c r="P7" s="21">
        <f t="shared" si="0"/>
        <v>15166.666666666666</v>
      </c>
      <c r="Q7" s="75">
        <f t="shared" si="1"/>
        <v>153941.66666666666</v>
      </c>
      <c r="R7" s="65">
        <f t="shared" si="2"/>
        <v>18200</v>
      </c>
      <c r="S7" s="73">
        <f t="shared" si="3"/>
        <v>184730</v>
      </c>
      <c r="T7" s="73">
        <f t="shared" si="4"/>
        <v>30788.333333333343</v>
      </c>
    </row>
    <row r="8" spans="1:20" s="12" customFormat="1" ht="33.75" thickBot="1" x14ac:dyDescent="0.3">
      <c r="A8" s="19">
        <f t="shared" si="5"/>
        <v>5</v>
      </c>
      <c r="B8" s="33" t="s">
        <v>63</v>
      </c>
      <c r="C8" s="34">
        <v>37</v>
      </c>
      <c r="D8" s="20" t="s">
        <v>21</v>
      </c>
      <c r="E8" s="21">
        <v>772</v>
      </c>
      <c r="F8" s="21">
        <v>730</v>
      </c>
      <c r="G8" s="21">
        <v>875</v>
      </c>
      <c r="H8" s="21"/>
      <c r="I8" s="21"/>
      <c r="J8" s="21">
        <f>Лист3!B6</f>
        <v>60.92</v>
      </c>
      <c r="K8" s="21">
        <f>Лист3!I6</f>
        <v>0.08</v>
      </c>
      <c r="L8" s="21">
        <f>Лист3!J6</f>
        <v>730</v>
      </c>
      <c r="M8" s="21">
        <f>Лист3!L6</f>
        <v>27010</v>
      </c>
      <c r="O8" s="69">
        <v>37</v>
      </c>
      <c r="P8" s="21">
        <f t="shared" si="0"/>
        <v>730</v>
      </c>
      <c r="Q8" s="75">
        <f t="shared" si="1"/>
        <v>27010</v>
      </c>
      <c r="R8" s="65">
        <f t="shared" si="2"/>
        <v>876</v>
      </c>
      <c r="S8" s="73">
        <f t="shared" si="3"/>
        <v>32412</v>
      </c>
      <c r="T8" s="73">
        <f t="shared" si="4"/>
        <v>5402</v>
      </c>
    </row>
    <row r="9" spans="1:20" s="12" customFormat="1" ht="36.75" customHeight="1" thickBot="1" x14ac:dyDescent="0.3">
      <c r="A9" s="19">
        <f t="shared" si="5"/>
        <v>6</v>
      </c>
      <c r="B9" s="30" t="s">
        <v>27</v>
      </c>
      <c r="C9" s="35">
        <v>39</v>
      </c>
      <c r="D9" s="20" t="s">
        <v>21</v>
      </c>
      <c r="E9" s="21">
        <v>105.15</v>
      </c>
      <c r="F9" s="21">
        <v>100</v>
      </c>
      <c r="G9" s="21">
        <v>115</v>
      </c>
      <c r="H9" s="21"/>
      <c r="I9" s="21"/>
      <c r="J9" s="21">
        <f>Лист3!B7</f>
        <v>6.22</v>
      </c>
      <c r="K9" s="21">
        <f>Лист3!I7</f>
        <v>0.06</v>
      </c>
      <c r="L9" s="21">
        <f>Лист3!J7</f>
        <v>100</v>
      </c>
      <c r="M9" s="21">
        <f>Лист3!L7</f>
        <v>3900</v>
      </c>
      <c r="O9" s="67">
        <v>39</v>
      </c>
      <c r="P9" s="21">
        <f t="shared" si="0"/>
        <v>100</v>
      </c>
      <c r="Q9" s="75">
        <f t="shared" si="1"/>
        <v>3900</v>
      </c>
      <c r="R9" s="65">
        <f t="shared" si="2"/>
        <v>120</v>
      </c>
      <c r="S9" s="73">
        <f t="shared" si="3"/>
        <v>4680</v>
      </c>
      <c r="T9" s="73">
        <f t="shared" si="4"/>
        <v>780</v>
      </c>
    </row>
    <row r="10" spans="1:20" s="12" customFormat="1" ht="33.75" customHeight="1" thickBot="1" x14ac:dyDescent="0.3">
      <c r="A10" s="19">
        <f t="shared" si="5"/>
        <v>7</v>
      </c>
      <c r="B10" s="25" t="s">
        <v>64</v>
      </c>
      <c r="C10" s="26">
        <v>693</v>
      </c>
      <c r="D10" s="20" t="s">
        <v>19</v>
      </c>
      <c r="E10" s="21">
        <v>23.5</v>
      </c>
      <c r="F10" s="21">
        <v>21.44</v>
      </c>
      <c r="G10" s="21">
        <v>22.22</v>
      </c>
      <c r="H10" s="21"/>
      <c r="I10" s="21"/>
      <c r="J10" s="21">
        <f>Лист3!B8</f>
        <v>0.85</v>
      </c>
      <c r="K10" s="21">
        <f>Лист3!I8</f>
        <v>0.04</v>
      </c>
      <c r="L10" s="21">
        <f>Лист3!J8</f>
        <v>22.386666666666667</v>
      </c>
      <c r="M10" s="21">
        <f>Лист3!L8</f>
        <v>15513.96</v>
      </c>
      <c r="O10" s="67">
        <v>693</v>
      </c>
      <c r="P10" s="21">
        <f t="shared" si="0"/>
        <v>22.386666666666667</v>
      </c>
      <c r="Q10" s="75">
        <f t="shared" si="1"/>
        <v>15513.96</v>
      </c>
      <c r="R10" s="65">
        <f t="shared" si="2"/>
        <v>26.864000000000001</v>
      </c>
      <c r="S10" s="73">
        <f t="shared" si="3"/>
        <v>18616.752</v>
      </c>
      <c r="T10" s="73">
        <f t="shared" si="4"/>
        <v>3102.7920000000013</v>
      </c>
    </row>
    <row r="11" spans="1:20" s="12" customFormat="1" ht="22.5" customHeight="1" thickBot="1" x14ac:dyDescent="0.3">
      <c r="A11" s="19">
        <f t="shared" si="5"/>
        <v>8</v>
      </c>
      <c r="B11" s="25" t="s">
        <v>65</v>
      </c>
      <c r="C11" s="26">
        <v>1062</v>
      </c>
      <c r="D11" s="20" t="s">
        <v>19</v>
      </c>
      <c r="E11" s="21">
        <v>12.2</v>
      </c>
      <c r="F11" s="21">
        <v>12</v>
      </c>
      <c r="G11" s="21">
        <v>13.33</v>
      </c>
      <c r="H11" s="21"/>
      <c r="I11" s="21"/>
      <c r="J11" s="21">
        <f>Лист3!B9</f>
        <v>0.59</v>
      </c>
      <c r="K11" s="21">
        <f>Лист3!I9</f>
        <v>0.05</v>
      </c>
      <c r="L11" s="21">
        <f>Лист3!J9</f>
        <v>12.51</v>
      </c>
      <c r="M11" s="21">
        <f>Лист3!L9</f>
        <v>13285.62</v>
      </c>
      <c r="O11" s="67">
        <v>1062</v>
      </c>
      <c r="P11" s="21">
        <f t="shared" si="0"/>
        <v>12.51</v>
      </c>
      <c r="Q11" s="75">
        <f t="shared" si="1"/>
        <v>13285.619999999999</v>
      </c>
      <c r="R11" s="65">
        <f t="shared" si="2"/>
        <v>15.011999999999999</v>
      </c>
      <c r="S11" s="73">
        <f t="shared" si="3"/>
        <v>15942.743999999999</v>
      </c>
      <c r="T11" s="73">
        <f t="shared" si="4"/>
        <v>2657.1239999999998</v>
      </c>
    </row>
    <row r="12" spans="1:20" s="12" customFormat="1" ht="30" customHeight="1" thickBot="1" x14ac:dyDescent="0.3">
      <c r="A12" s="19">
        <f t="shared" si="5"/>
        <v>9</v>
      </c>
      <c r="B12" s="36" t="s">
        <v>66</v>
      </c>
      <c r="C12" s="26">
        <v>317</v>
      </c>
      <c r="D12" s="20" t="s">
        <v>19</v>
      </c>
      <c r="E12" s="21">
        <v>11.8</v>
      </c>
      <c r="F12" s="21">
        <v>11.6</v>
      </c>
      <c r="G12" s="21">
        <v>12</v>
      </c>
      <c r="H12" s="21"/>
      <c r="I12" s="21"/>
      <c r="J12" s="21">
        <f>Лист3!B10</f>
        <v>0.16</v>
      </c>
      <c r="K12" s="21">
        <f>Лист3!I10</f>
        <v>0.01</v>
      </c>
      <c r="L12" s="21">
        <f>Лист3!J10</f>
        <v>11.799999999999999</v>
      </c>
      <c r="M12" s="21">
        <f>Лист3!L10</f>
        <v>3740.6</v>
      </c>
      <c r="O12" s="67">
        <v>317</v>
      </c>
      <c r="P12" s="21">
        <f t="shared" si="0"/>
        <v>11.799999999999999</v>
      </c>
      <c r="Q12" s="75">
        <f t="shared" si="1"/>
        <v>3740.5999999999995</v>
      </c>
      <c r="R12" s="65">
        <f t="shared" si="2"/>
        <v>14.159999999999998</v>
      </c>
      <c r="S12" s="73">
        <f t="shared" si="3"/>
        <v>4488.7199999999993</v>
      </c>
      <c r="T12" s="73">
        <f t="shared" si="4"/>
        <v>748.11999999999989</v>
      </c>
    </row>
    <row r="13" spans="1:20" s="12" customFormat="1" ht="40.5" customHeight="1" thickBot="1" x14ac:dyDescent="0.3">
      <c r="A13" s="19">
        <f t="shared" si="5"/>
        <v>10</v>
      </c>
      <c r="B13" s="25" t="s">
        <v>28</v>
      </c>
      <c r="C13" s="26">
        <v>22</v>
      </c>
      <c r="D13" s="20" t="s">
        <v>21</v>
      </c>
      <c r="E13" s="21">
        <v>161.82</v>
      </c>
      <c r="F13" s="21">
        <v>161.68</v>
      </c>
      <c r="G13" s="21">
        <v>191</v>
      </c>
      <c r="H13" s="21"/>
      <c r="I13" s="21"/>
      <c r="J13" s="21">
        <f>Лист3!B11</f>
        <v>13.79</v>
      </c>
      <c r="K13" s="21">
        <f>Лист3!I11</f>
        <v>0.08</v>
      </c>
      <c r="L13" s="21">
        <f>Лист3!J11</f>
        <v>161.68</v>
      </c>
      <c r="M13" s="21">
        <f>Лист3!L11</f>
        <v>3556.96</v>
      </c>
      <c r="O13" s="67">
        <v>22</v>
      </c>
      <c r="P13" s="21">
        <f t="shared" si="0"/>
        <v>161.68</v>
      </c>
      <c r="Q13" s="75">
        <f t="shared" si="1"/>
        <v>3556.96</v>
      </c>
      <c r="R13" s="65">
        <f t="shared" si="2"/>
        <v>194.01599999999999</v>
      </c>
      <c r="S13" s="73">
        <f t="shared" si="3"/>
        <v>4268.3519999999999</v>
      </c>
      <c r="T13" s="73">
        <f t="shared" si="4"/>
        <v>711.39199999999983</v>
      </c>
    </row>
    <row r="14" spans="1:20" s="12" customFormat="1" ht="33" customHeight="1" thickBot="1" x14ac:dyDescent="0.3">
      <c r="A14" s="19">
        <f t="shared" si="5"/>
        <v>11</v>
      </c>
      <c r="B14" s="25" t="s">
        <v>29</v>
      </c>
      <c r="C14" s="26">
        <v>30</v>
      </c>
      <c r="D14" s="20" t="s">
        <v>21</v>
      </c>
      <c r="E14" s="21">
        <v>216.5</v>
      </c>
      <c r="F14" s="21">
        <v>202</v>
      </c>
      <c r="G14" s="21">
        <v>250</v>
      </c>
      <c r="H14" s="21"/>
      <c r="I14" s="21"/>
      <c r="J14" s="21">
        <f>Лист3!B12</f>
        <v>20.100000000000001</v>
      </c>
      <c r="K14" s="21">
        <f>Лист3!I12</f>
        <v>0.09</v>
      </c>
      <c r="L14" s="21">
        <f>Лист3!J12</f>
        <v>202</v>
      </c>
      <c r="M14" s="21">
        <f>Лист3!L12</f>
        <v>6060</v>
      </c>
      <c r="O14" s="67">
        <v>30</v>
      </c>
      <c r="P14" s="21">
        <f t="shared" si="0"/>
        <v>202</v>
      </c>
      <c r="Q14" s="75">
        <f t="shared" si="1"/>
        <v>6060</v>
      </c>
      <c r="R14" s="65">
        <f t="shared" si="2"/>
        <v>242.39999999999998</v>
      </c>
      <c r="S14" s="73">
        <f t="shared" si="3"/>
        <v>7271.9999999999991</v>
      </c>
      <c r="T14" s="73">
        <f t="shared" si="4"/>
        <v>1211.9999999999991</v>
      </c>
    </row>
    <row r="15" spans="1:20" s="12" customFormat="1" ht="36.75" customHeight="1" thickBot="1" x14ac:dyDescent="0.3">
      <c r="A15" s="19">
        <f t="shared" si="5"/>
        <v>12</v>
      </c>
      <c r="B15" s="25" t="s">
        <v>30</v>
      </c>
      <c r="C15" s="26">
        <v>30</v>
      </c>
      <c r="D15" s="20" t="s">
        <v>21</v>
      </c>
      <c r="E15" s="21">
        <v>321.7</v>
      </c>
      <c r="F15" s="21">
        <v>320</v>
      </c>
      <c r="G15" s="21">
        <v>350</v>
      </c>
      <c r="H15" s="21"/>
      <c r="I15" s="21"/>
      <c r="J15" s="21">
        <f>Лист3!B13</f>
        <v>13.76</v>
      </c>
      <c r="K15" s="21">
        <f>Лист3!I13</f>
        <v>0.04</v>
      </c>
      <c r="L15" s="21">
        <f>Лист3!J13</f>
        <v>330.56666666666666</v>
      </c>
      <c r="M15" s="21">
        <f>Лист3!L13</f>
        <v>9917</v>
      </c>
      <c r="O15" s="67">
        <v>30</v>
      </c>
      <c r="P15" s="21">
        <f t="shared" si="0"/>
        <v>330.56666666666666</v>
      </c>
      <c r="Q15" s="75">
        <f t="shared" si="1"/>
        <v>9917</v>
      </c>
      <c r="R15" s="65">
        <f t="shared" si="2"/>
        <v>396.68</v>
      </c>
      <c r="S15" s="73">
        <f t="shared" si="3"/>
        <v>11900.4</v>
      </c>
      <c r="T15" s="73">
        <f t="shared" si="4"/>
        <v>1983.3999999999996</v>
      </c>
    </row>
    <row r="16" spans="1:20" s="12" customFormat="1" ht="36.75" customHeight="1" thickBot="1" x14ac:dyDescent="0.3">
      <c r="A16" s="19">
        <f t="shared" si="5"/>
        <v>13</v>
      </c>
      <c r="B16" s="25" t="s">
        <v>31</v>
      </c>
      <c r="C16" s="37">
        <v>32</v>
      </c>
      <c r="D16" s="20" t="s">
        <v>21</v>
      </c>
      <c r="E16" s="21">
        <v>237</v>
      </c>
      <c r="F16" s="21">
        <v>237</v>
      </c>
      <c r="G16" s="21">
        <v>250</v>
      </c>
      <c r="H16" s="21"/>
      <c r="I16" s="21"/>
      <c r="J16" s="21">
        <f>Лист3!B14</f>
        <v>6.13</v>
      </c>
      <c r="K16" s="21">
        <f>Лист3!I14</f>
        <v>0.03</v>
      </c>
      <c r="L16" s="21">
        <f>Лист3!J14</f>
        <v>241.33333333333334</v>
      </c>
      <c r="M16" s="21">
        <f>Лист3!L14</f>
        <v>7722.67</v>
      </c>
      <c r="O16" s="69">
        <v>32</v>
      </c>
      <c r="P16" s="21">
        <f t="shared" si="0"/>
        <v>241.33333333333334</v>
      </c>
      <c r="Q16" s="75">
        <f t="shared" si="1"/>
        <v>7722.666666666667</v>
      </c>
      <c r="R16" s="65">
        <f t="shared" si="2"/>
        <v>289.60000000000002</v>
      </c>
      <c r="S16" s="73">
        <f t="shared" si="3"/>
        <v>9267.2000000000007</v>
      </c>
      <c r="T16" s="73">
        <f t="shared" si="4"/>
        <v>1544.5333333333338</v>
      </c>
    </row>
    <row r="17" spans="1:23" s="12" customFormat="1" ht="35.25" customHeight="1" thickBot="1" x14ac:dyDescent="0.3">
      <c r="A17" s="19">
        <f t="shared" si="5"/>
        <v>14</v>
      </c>
      <c r="B17" s="25" t="s">
        <v>32</v>
      </c>
      <c r="C17" s="38">
        <v>23</v>
      </c>
      <c r="D17" s="20" t="s">
        <v>21</v>
      </c>
      <c r="E17" s="21">
        <v>196</v>
      </c>
      <c r="F17" s="21">
        <v>200</v>
      </c>
      <c r="G17" s="21">
        <v>250</v>
      </c>
      <c r="H17" s="21"/>
      <c r="I17" s="21"/>
      <c r="J17" s="21">
        <f>Лист3!B15</f>
        <v>24.57</v>
      </c>
      <c r="K17" s="21">
        <f>Лист3!I15</f>
        <v>0.11</v>
      </c>
      <c r="L17" s="21">
        <f>Лист3!J15</f>
        <v>196</v>
      </c>
      <c r="M17" s="21">
        <f>Лист3!L15</f>
        <v>4508</v>
      </c>
      <c r="O17" s="70">
        <v>23</v>
      </c>
      <c r="P17" s="21">
        <f t="shared" si="0"/>
        <v>196</v>
      </c>
      <c r="Q17" s="75">
        <f t="shared" si="1"/>
        <v>4508</v>
      </c>
      <c r="R17" s="65">
        <f t="shared" si="2"/>
        <v>235.2</v>
      </c>
      <c r="S17" s="73">
        <f t="shared" si="3"/>
        <v>5409.5999999999995</v>
      </c>
      <c r="T17" s="73">
        <f t="shared" si="4"/>
        <v>901.59999999999945</v>
      </c>
    </row>
    <row r="18" spans="1:23" s="12" customFormat="1" ht="41.25" customHeight="1" thickBot="1" x14ac:dyDescent="0.3">
      <c r="A18" s="19">
        <f t="shared" si="5"/>
        <v>15</v>
      </c>
      <c r="B18" s="25" t="s">
        <v>33</v>
      </c>
      <c r="C18" s="26">
        <v>23</v>
      </c>
      <c r="D18" s="20" t="s">
        <v>21</v>
      </c>
      <c r="E18" s="21">
        <v>196</v>
      </c>
      <c r="F18" s="21">
        <v>200</v>
      </c>
      <c r="G18" s="21">
        <v>250</v>
      </c>
      <c r="H18" s="21"/>
      <c r="I18" s="21"/>
      <c r="J18" s="21">
        <f>Лист3!B16</f>
        <v>24.57</v>
      </c>
      <c r="K18" s="21">
        <f>Лист3!I16</f>
        <v>0.11</v>
      </c>
      <c r="L18" s="21">
        <f>Лист3!J16</f>
        <v>196</v>
      </c>
      <c r="M18" s="21">
        <f>Лист3!L16</f>
        <v>4508</v>
      </c>
      <c r="O18" s="67">
        <v>23</v>
      </c>
      <c r="P18" s="21">
        <f t="shared" si="0"/>
        <v>196</v>
      </c>
      <c r="Q18" s="75">
        <f t="shared" si="1"/>
        <v>4508</v>
      </c>
      <c r="R18" s="65">
        <f t="shared" si="2"/>
        <v>235.2</v>
      </c>
      <c r="S18" s="73">
        <f t="shared" si="3"/>
        <v>5409.5999999999995</v>
      </c>
      <c r="T18" s="73">
        <f t="shared" si="4"/>
        <v>901.59999999999945</v>
      </c>
    </row>
    <row r="19" spans="1:23" s="12" customFormat="1" ht="15" customHeight="1" thickBot="1" x14ac:dyDescent="0.3">
      <c r="A19" s="19">
        <f t="shared" si="5"/>
        <v>16</v>
      </c>
      <c r="B19" s="25" t="s">
        <v>34</v>
      </c>
      <c r="C19" s="26">
        <v>9</v>
      </c>
      <c r="D19" s="20" t="s">
        <v>21</v>
      </c>
      <c r="E19" s="21">
        <v>389</v>
      </c>
      <c r="F19" s="21">
        <v>395</v>
      </c>
      <c r="G19" s="21">
        <v>400</v>
      </c>
      <c r="H19" s="21"/>
      <c r="I19" s="21"/>
      <c r="J19" s="21">
        <f>Лист3!B17</f>
        <v>4.5</v>
      </c>
      <c r="K19" s="21">
        <f>Лист3!I17</f>
        <v>0.01</v>
      </c>
      <c r="L19" s="21">
        <f>Лист3!J17</f>
        <v>394.66666666666669</v>
      </c>
      <c r="M19" s="21">
        <f>Лист3!L17</f>
        <v>3552</v>
      </c>
      <c r="O19" s="67">
        <v>9</v>
      </c>
      <c r="P19" s="21">
        <f t="shared" si="0"/>
        <v>394.66666666666669</v>
      </c>
      <c r="Q19" s="75">
        <f t="shared" si="1"/>
        <v>3552</v>
      </c>
      <c r="R19" s="65">
        <f t="shared" si="2"/>
        <v>473.6</v>
      </c>
      <c r="S19" s="73">
        <f t="shared" si="3"/>
        <v>4262.4000000000005</v>
      </c>
      <c r="T19" s="73">
        <f t="shared" si="4"/>
        <v>710.40000000000055</v>
      </c>
    </row>
    <row r="20" spans="1:23" s="12" customFormat="1" ht="33.75" thickBot="1" x14ac:dyDescent="0.3">
      <c r="A20" s="19">
        <f t="shared" si="5"/>
        <v>17</v>
      </c>
      <c r="B20" s="25" t="s">
        <v>74</v>
      </c>
      <c r="C20" s="39">
        <v>1</v>
      </c>
      <c r="D20" s="20" t="s">
        <v>67</v>
      </c>
      <c r="E20" s="21">
        <v>73404</v>
      </c>
      <c r="F20" s="21">
        <v>73402</v>
      </c>
      <c r="G20" s="21">
        <v>73500</v>
      </c>
      <c r="H20" s="21"/>
      <c r="I20" s="21"/>
      <c r="J20" s="21">
        <f>Лист3!B18</f>
        <v>45.73</v>
      </c>
      <c r="K20" s="21">
        <f>Лист3!I18</f>
        <v>0</v>
      </c>
      <c r="L20" s="21">
        <f>Лист3!J18</f>
        <v>73435.333333333328</v>
      </c>
      <c r="M20" s="21">
        <f>Лист3!L18</f>
        <v>73435.33</v>
      </c>
      <c r="O20" s="68">
        <v>1</v>
      </c>
      <c r="P20" s="21">
        <f t="shared" si="0"/>
        <v>73435.333333333328</v>
      </c>
      <c r="Q20" s="75">
        <f t="shared" si="1"/>
        <v>73435.333333333328</v>
      </c>
      <c r="R20" s="65">
        <f t="shared" si="2"/>
        <v>88122.4</v>
      </c>
      <c r="S20" s="73">
        <f t="shared" si="3"/>
        <v>88122.4</v>
      </c>
      <c r="T20" s="73">
        <f t="shared" si="4"/>
        <v>14687.066666666666</v>
      </c>
    </row>
    <row r="21" spans="1:23" s="12" customFormat="1" ht="33.75" thickBot="1" x14ac:dyDescent="0.3">
      <c r="A21" s="19">
        <f t="shared" si="5"/>
        <v>18</v>
      </c>
      <c r="B21" s="25" t="s">
        <v>75</v>
      </c>
      <c r="C21" s="26">
        <v>1</v>
      </c>
      <c r="D21" s="20" t="s">
        <v>67</v>
      </c>
      <c r="E21" s="21">
        <v>12000</v>
      </c>
      <c r="F21" s="21">
        <v>11976</v>
      </c>
      <c r="G21" s="21">
        <v>12000</v>
      </c>
      <c r="H21" s="21"/>
      <c r="I21" s="21"/>
      <c r="J21" s="21">
        <f>Лист3!B19</f>
        <v>11.31</v>
      </c>
      <c r="K21" s="21">
        <f>Лист3!I19</f>
        <v>0</v>
      </c>
      <c r="L21" s="21">
        <f>Лист3!J19</f>
        <v>11992</v>
      </c>
      <c r="M21" s="21">
        <f>Лист3!L19</f>
        <v>11992</v>
      </c>
      <c r="O21" s="67">
        <v>1</v>
      </c>
      <c r="P21" s="21">
        <f t="shared" si="0"/>
        <v>11992</v>
      </c>
      <c r="Q21" s="75">
        <f t="shared" si="1"/>
        <v>11992</v>
      </c>
      <c r="R21" s="65">
        <f t="shared" si="2"/>
        <v>14390.4</v>
      </c>
      <c r="S21" s="73">
        <f t="shared" si="3"/>
        <v>14390.4</v>
      </c>
      <c r="T21" s="73">
        <f t="shared" si="4"/>
        <v>2398.3999999999996</v>
      </c>
    </row>
    <row r="22" spans="1:23" s="12" customFormat="1" ht="33.75" customHeight="1" thickBot="1" x14ac:dyDescent="0.3">
      <c r="A22" s="19">
        <f t="shared" si="5"/>
        <v>19</v>
      </c>
      <c r="B22" s="25" t="s">
        <v>35</v>
      </c>
      <c r="C22" s="26">
        <v>180</v>
      </c>
      <c r="D22" s="20" t="s">
        <v>36</v>
      </c>
      <c r="E22" s="21">
        <v>13</v>
      </c>
      <c r="F22" s="21">
        <v>13</v>
      </c>
      <c r="G22" s="21">
        <v>15</v>
      </c>
      <c r="H22" s="21"/>
      <c r="I22" s="21"/>
      <c r="J22" s="21">
        <f>Лист3!B20</f>
        <v>0.94</v>
      </c>
      <c r="K22" s="21">
        <f>Лист3!I20</f>
        <v>7.0000000000000007E-2</v>
      </c>
      <c r="L22" s="21">
        <f>Лист3!J20</f>
        <v>13</v>
      </c>
      <c r="M22" s="21">
        <f>Лист3!L20</f>
        <v>2340</v>
      </c>
      <c r="O22" s="67">
        <v>180</v>
      </c>
      <c r="P22" s="21">
        <f t="shared" si="0"/>
        <v>13</v>
      </c>
      <c r="Q22" s="75">
        <f t="shared" si="1"/>
        <v>2340</v>
      </c>
      <c r="R22" s="65">
        <f t="shared" si="2"/>
        <v>15.6</v>
      </c>
      <c r="S22" s="73">
        <f t="shared" si="3"/>
        <v>2808</v>
      </c>
      <c r="T22" s="73">
        <f t="shared" si="4"/>
        <v>468</v>
      </c>
    </row>
    <row r="23" spans="1:23" s="12" customFormat="1" ht="36" customHeight="1" thickBot="1" x14ac:dyDescent="0.3">
      <c r="A23" s="19">
        <f t="shared" si="5"/>
        <v>20</v>
      </c>
      <c r="B23" s="25" t="s">
        <v>37</v>
      </c>
      <c r="C23" s="26">
        <v>110</v>
      </c>
      <c r="D23" s="20" t="s">
        <v>17</v>
      </c>
      <c r="E23" s="21">
        <v>4</v>
      </c>
      <c r="F23" s="21">
        <v>4</v>
      </c>
      <c r="G23" s="21">
        <v>5</v>
      </c>
      <c r="H23" s="21"/>
      <c r="I23" s="21"/>
      <c r="J23" s="21">
        <f>Лист3!B21</f>
        <v>0.47</v>
      </c>
      <c r="K23" s="21">
        <f>Лист3!I21</f>
        <v>0.11</v>
      </c>
      <c r="L23" s="21">
        <f>Лист3!J21</f>
        <v>4</v>
      </c>
      <c r="M23" s="21">
        <f>Лист3!L21</f>
        <v>440</v>
      </c>
      <c r="O23" s="67">
        <v>110</v>
      </c>
      <c r="P23" s="21">
        <f t="shared" si="0"/>
        <v>4</v>
      </c>
      <c r="Q23" s="75">
        <f t="shared" si="1"/>
        <v>440</v>
      </c>
      <c r="R23" s="65">
        <f t="shared" si="2"/>
        <v>4.8</v>
      </c>
      <c r="S23" s="73">
        <f t="shared" si="3"/>
        <v>528</v>
      </c>
      <c r="T23" s="73">
        <f t="shared" si="4"/>
        <v>88</v>
      </c>
    </row>
    <row r="24" spans="1:23" s="12" customFormat="1" ht="37.5" customHeight="1" thickBot="1" x14ac:dyDescent="0.3">
      <c r="A24" s="19">
        <f t="shared" si="5"/>
        <v>21</v>
      </c>
      <c r="B24" s="25" t="s">
        <v>38</v>
      </c>
      <c r="C24" s="26">
        <v>1</v>
      </c>
      <c r="D24" s="20" t="s">
        <v>73</v>
      </c>
      <c r="E24" s="21">
        <v>752</v>
      </c>
      <c r="F24" s="21">
        <v>752</v>
      </c>
      <c r="G24" s="21">
        <v>760</v>
      </c>
      <c r="H24" s="21"/>
      <c r="I24" s="21"/>
      <c r="J24" s="21">
        <f>Лист3!B22</f>
        <v>3.77</v>
      </c>
      <c r="K24" s="21">
        <f>Лист3!I22</f>
        <v>0</v>
      </c>
      <c r="L24" s="21">
        <f>Лист3!J22</f>
        <v>754.66666666666663</v>
      </c>
      <c r="M24" s="21">
        <f>Лист3!L22</f>
        <v>754.67</v>
      </c>
      <c r="O24" s="67">
        <v>1</v>
      </c>
      <c r="P24" s="21">
        <f t="shared" si="0"/>
        <v>754.66666666666663</v>
      </c>
      <c r="Q24" s="75">
        <f t="shared" si="1"/>
        <v>754.66666666666663</v>
      </c>
      <c r="R24" s="65">
        <f t="shared" si="2"/>
        <v>905.59999999999991</v>
      </c>
      <c r="S24" s="73">
        <f t="shared" si="3"/>
        <v>905.59999999999991</v>
      </c>
      <c r="T24" s="73">
        <f t="shared" si="4"/>
        <v>150.93333333333328</v>
      </c>
    </row>
    <row r="25" spans="1:23" s="12" customFormat="1" ht="34.5" customHeight="1" thickBot="1" x14ac:dyDescent="0.3">
      <c r="A25" s="19">
        <f t="shared" si="5"/>
        <v>22</v>
      </c>
      <c r="B25" s="25" t="s">
        <v>39</v>
      </c>
      <c r="C25" s="26">
        <v>25</v>
      </c>
      <c r="D25" s="20" t="s">
        <v>17</v>
      </c>
      <c r="E25" s="21">
        <v>40</v>
      </c>
      <c r="F25" s="21">
        <v>41</v>
      </c>
      <c r="G25" s="21">
        <v>45</v>
      </c>
      <c r="H25" s="21"/>
      <c r="I25" s="21"/>
      <c r="J25" s="21">
        <f>Лист3!B23</f>
        <v>2.16</v>
      </c>
      <c r="K25" s="21">
        <f>Лист3!I23</f>
        <v>0.05</v>
      </c>
      <c r="L25" s="21">
        <f>Лист3!J23</f>
        <v>42</v>
      </c>
      <c r="M25" s="21">
        <f>Лист3!L23</f>
        <v>1050</v>
      </c>
      <c r="O25" s="67">
        <v>25</v>
      </c>
      <c r="P25" s="21">
        <f t="shared" si="0"/>
        <v>42</v>
      </c>
      <c r="Q25" s="75">
        <f t="shared" si="1"/>
        <v>1050</v>
      </c>
      <c r="R25" s="65">
        <f t="shared" si="2"/>
        <v>50.4</v>
      </c>
      <c r="S25" s="73">
        <f t="shared" si="3"/>
        <v>1260</v>
      </c>
      <c r="T25" s="73">
        <f t="shared" si="4"/>
        <v>210</v>
      </c>
    </row>
    <row r="26" spans="1:23" s="12" customFormat="1" ht="36.75" customHeight="1" thickBot="1" x14ac:dyDescent="0.3">
      <c r="A26" s="19">
        <f t="shared" si="5"/>
        <v>23</v>
      </c>
      <c r="B26" s="25" t="s">
        <v>40</v>
      </c>
      <c r="C26" s="26">
        <v>7</v>
      </c>
      <c r="D26" s="20" t="s">
        <v>21</v>
      </c>
      <c r="E26" s="21">
        <v>2714</v>
      </c>
      <c r="F26" s="21">
        <v>2749</v>
      </c>
      <c r="G26" s="21">
        <v>3000</v>
      </c>
      <c r="H26" s="21"/>
      <c r="I26" s="21"/>
      <c r="J26" s="21">
        <f>Лист3!B24</f>
        <v>127.38</v>
      </c>
      <c r="K26" s="21">
        <f>Лист3!I24</f>
        <v>0.05</v>
      </c>
      <c r="L26" s="21">
        <f>Лист3!J24</f>
        <v>2821</v>
      </c>
      <c r="M26" s="21">
        <f>Лист3!L24</f>
        <v>19747</v>
      </c>
      <c r="O26" s="67">
        <v>7</v>
      </c>
      <c r="P26" s="21">
        <f t="shared" si="0"/>
        <v>2821</v>
      </c>
      <c r="Q26" s="75">
        <f t="shared" si="1"/>
        <v>19747</v>
      </c>
      <c r="R26" s="65">
        <f t="shared" si="2"/>
        <v>3385.2</v>
      </c>
      <c r="S26" s="73">
        <f t="shared" si="3"/>
        <v>23696.399999999998</v>
      </c>
      <c r="T26" s="73">
        <f t="shared" si="4"/>
        <v>3949.3999999999978</v>
      </c>
    </row>
    <row r="27" spans="1:23" s="12" customFormat="1" ht="36" customHeight="1" thickBot="1" x14ac:dyDescent="0.3">
      <c r="A27" s="19">
        <f t="shared" si="5"/>
        <v>24</v>
      </c>
      <c r="B27" s="25" t="s">
        <v>41</v>
      </c>
      <c r="C27" s="26">
        <v>8</v>
      </c>
      <c r="D27" s="20" t="s">
        <v>21</v>
      </c>
      <c r="E27" s="21">
        <v>1750</v>
      </c>
      <c r="F27" s="21">
        <v>1804</v>
      </c>
      <c r="G27" s="21">
        <v>2000</v>
      </c>
      <c r="H27" s="21"/>
      <c r="I27" s="21"/>
      <c r="J27" s="21">
        <f>Лист3!B25</f>
        <v>107.41</v>
      </c>
      <c r="K27" s="21">
        <f>Лист3!I25</f>
        <v>0.06</v>
      </c>
      <c r="L27" s="21">
        <f>Лист3!J25</f>
        <v>1750</v>
      </c>
      <c r="M27" s="21">
        <f>Лист3!L25</f>
        <v>14000</v>
      </c>
      <c r="O27" s="67">
        <v>8</v>
      </c>
      <c r="P27" s="21">
        <f t="shared" si="0"/>
        <v>1750</v>
      </c>
      <c r="Q27" s="75">
        <f t="shared" si="1"/>
        <v>14000</v>
      </c>
      <c r="R27" s="65">
        <f t="shared" si="2"/>
        <v>2100</v>
      </c>
      <c r="S27" s="73">
        <f t="shared" si="3"/>
        <v>16800</v>
      </c>
      <c r="T27" s="73">
        <f t="shared" si="4"/>
        <v>2800</v>
      </c>
    </row>
    <row r="28" spans="1:23" s="12" customFormat="1" ht="39" customHeight="1" thickBot="1" x14ac:dyDescent="0.3">
      <c r="A28" s="19">
        <f t="shared" si="5"/>
        <v>25</v>
      </c>
      <c r="B28" s="25" t="s">
        <v>42</v>
      </c>
      <c r="C28" s="26">
        <v>3</v>
      </c>
      <c r="D28" s="20" t="s">
        <v>21</v>
      </c>
      <c r="E28" s="21">
        <v>4335</v>
      </c>
      <c r="F28" s="21">
        <v>4349</v>
      </c>
      <c r="G28" s="21">
        <v>4500</v>
      </c>
      <c r="H28" s="21"/>
      <c r="I28" s="21"/>
      <c r="J28" s="21">
        <f>Лист3!B26</f>
        <v>74.7</v>
      </c>
      <c r="K28" s="21">
        <f>Лист3!I26</f>
        <v>0.02</v>
      </c>
      <c r="L28" s="21">
        <f>Лист3!J26</f>
        <v>4394.666666666667</v>
      </c>
      <c r="M28" s="21">
        <f>Лист3!L26</f>
        <v>13184</v>
      </c>
      <c r="O28" s="67">
        <v>3</v>
      </c>
      <c r="P28" s="21">
        <f t="shared" si="0"/>
        <v>4394.666666666667</v>
      </c>
      <c r="Q28" s="75">
        <f t="shared" si="1"/>
        <v>13184</v>
      </c>
      <c r="R28" s="65">
        <f t="shared" si="2"/>
        <v>5273.6</v>
      </c>
      <c r="S28" s="73">
        <f t="shared" si="3"/>
        <v>15820.800000000001</v>
      </c>
      <c r="T28" s="73">
        <f t="shared" si="4"/>
        <v>2636.8000000000011</v>
      </c>
    </row>
    <row r="29" spans="1:23" s="12" customFormat="1" ht="39" customHeight="1" thickBot="1" x14ac:dyDescent="0.3">
      <c r="A29" s="19">
        <f t="shared" si="5"/>
        <v>26</v>
      </c>
      <c r="B29" s="25" t="s">
        <v>43</v>
      </c>
      <c r="C29" s="26">
        <v>12</v>
      </c>
      <c r="D29" s="20" t="s">
        <v>21</v>
      </c>
      <c r="E29" s="21">
        <v>517</v>
      </c>
      <c r="F29" s="21">
        <v>516</v>
      </c>
      <c r="G29" s="21">
        <v>550</v>
      </c>
      <c r="H29" s="21"/>
      <c r="I29" s="21"/>
      <c r="J29" s="21">
        <f>Лист3!B27</f>
        <v>15.8</v>
      </c>
      <c r="K29" s="21">
        <f>Лист3!I27</f>
        <v>0.03</v>
      </c>
      <c r="L29" s="21">
        <f>Лист3!J27</f>
        <v>527.66666666666663</v>
      </c>
      <c r="M29" s="21">
        <f>Лист3!L27</f>
        <v>6332</v>
      </c>
      <c r="O29" s="67">
        <v>12</v>
      </c>
      <c r="P29" s="21">
        <f t="shared" si="0"/>
        <v>527.66666666666663</v>
      </c>
      <c r="Q29" s="75">
        <f t="shared" si="1"/>
        <v>6332</v>
      </c>
      <c r="R29" s="65">
        <f t="shared" si="2"/>
        <v>633.19999999999993</v>
      </c>
      <c r="S29" s="73">
        <f t="shared" si="3"/>
        <v>7598.4</v>
      </c>
      <c r="T29" s="73">
        <f t="shared" si="4"/>
        <v>1266.3999999999996</v>
      </c>
      <c r="U29" s="11"/>
      <c r="V29" s="58"/>
      <c r="W29" s="58"/>
    </row>
    <row r="30" spans="1:23" s="12" customFormat="1" ht="37.5" customHeight="1" thickBot="1" x14ac:dyDescent="0.3">
      <c r="A30" s="19">
        <f t="shared" si="5"/>
        <v>27</v>
      </c>
      <c r="B30" s="25" t="s">
        <v>44</v>
      </c>
      <c r="C30" s="26">
        <v>3</v>
      </c>
      <c r="D30" s="20" t="s">
        <v>21</v>
      </c>
      <c r="E30" s="21">
        <v>1000</v>
      </c>
      <c r="F30" s="21">
        <v>987</v>
      </c>
      <c r="G30" s="21">
        <v>1000</v>
      </c>
      <c r="H30" s="21"/>
      <c r="I30" s="21"/>
      <c r="J30" s="21">
        <f>Лист3!B28</f>
        <v>6.13</v>
      </c>
      <c r="K30" s="21">
        <f>Лист3!I28</f>
        <v>0.01</v>
      </c>
      <c r="L30" s="21">
        <f>Лист3!J28</f>
        <v>995.66666666666663</v>
      </c>
      <c r="M30" s="21">
        <f>Лист3!L28</f>
        <v>2987</v>
      </c>
      <c r="O30" s="67">
        <v>3</v>
      </c>
      <c r="P30" s="21">
        <f t="shared" si="0"/>
        <v>995.66666666666663</v>
      </c>
      <c r="Q30" s="75">
        <f t="shared" si="1"/>
        <v>2987</v>
      </c>
      <c r="R30" s="65">
        <f t="shared" si="2"/>
        <v>1194.8</v>
      </c>
      <c r="S30" s="73">
        <f t="shared" si="3"/>
        <v>3584.3999999999996</v>
      </c>
      <c r="T30" s="73">
        <f t="shared" si="4"/>
        <v>597.39999999999964</v>
      </c>
    </row>
    <row r="31" spans="1:23" s="12" customFormat="1" ht="34.5" customHeight="1" thickBot="1" x14ac:dyDescent="0.3">
      <c r="A31" s="19">
        <f t="shared" si="5"/>
        <v>28</v>
      </c>
      <c r="B31" s="25" t="s">
        <v>45</v>
      </c>
      <c r="C31" s="26">
        <v>35</v>
      </c>
      <c r="D31" s="20" t="s">
        <v>21</v>
      </c>
      <c r="E31" s="21">
        <v>4143</v>
      </c>
      <c r="F31" s="21">
        <v>4155</v>
      </c>
      <c r="G31" s="21">
        <v>4500</v>
      </c>
      <c r="H31" s="21"/>
      <c r="I31" s="21"/>
      <c r="J31" s="21">
        <f>Лист3!B29</f>
        <v>165.54</v>
      </c>
      <c r="K31" s="21">
        <f>Лист3!I29</f>
        <v>0.04</v>
      </c>
      <c r="L31" s="21">
        <f>Лист3!J29</f>
        <v>4266</v>
      </c>
      <c r="M31" s="21">
        <f>Лист3!L29</f>
        <v>149310</v>
      </c>
      <c r="O31" s="67">
        <v>35</v>
      </c>
      <c r="P31" s="21">
        <f t="shared" si="0"/>
        <v>4266</v>
      </c>
      <c r="Q31" s="75">
        <f t="shared" si="1"/>
        <v>149310</v>
      </c>
      <c r="R31" s="65">
        <f t="shared" si="2"/>
        <v>5119.2</v>
      </c>
      <c r="S31" s="73">
        <f t="shared" si="3"/>
        <v>179172</v>
      </c>
      <c r="T31" s="73">
        <f t="shared" si="4"/>
        <v>29862</v>
      </c>
    </row>
    <row r="32" spans="1:23" s="12" customFormat="1" ht="31.5" customHeight="1" thickBot="1" x14ac:dyDescent="0.3">
      <c r="A32" s="19">
        <f t="shared" si="5"/>
        <v>29</v>
      </c>
      <c r="B32" s="25" t="s">
        <v>46</v>
      </c>
      <c r="C32" s="26">
        <v>51</v>
      </c>
      <c r="D32" s="20" t="s">
        <v>47</v>
      </c>
      <c r="E32" s="21">
        <v>731</v>
      </c>
      <c r="F32" s="21">
        <v>731</v>
      </c>
      <c r="G32" s="21">
        <v>750</v>
      </c>
      <c r="H32" s="21"/>
      <c r="I32" s="21"/>
      <c r="J32" s="21">
        <f>Лист3!B30</f>
        <v>8.9600000000000009</v>
      </c>
      <c r="K32" s="21">
        <f>Лист3!I30</f>
        <v>0.01</v>
      </c>
      <c r="L32" s="21">
        <f>Лист3!J30</f>
        <v>737.33333333333337</v>
      </c>
      <c r="M32" s="21">
        <f>Лист3!L30</f>
        <v>37604</v>
      </c>
      <c r="O32" s="67">
        <v>51</v>
      </c>
      <c r="P32" s="21">
        <f t="shared" si="0"/>
        <v>737.33333333333337</v>
      </c>
      <c r="Q32" s="75">
        <f t="shared" si="1"/>
        <v>37604</v>
      </c>
      <c r="R32" s="65">
        <f t="shared" si="2"/>
        <v>884.80000000000007</v>
      </c>
      <c r="S32" s="73">
        <f t="shared" si="3"/>
        <v>45124.800000000003</v>
      </c>
      <c r="T32" s="73">
        <f t="shared" si="4"/>
        <v>7520.8000000000029</v>
      </c>
    </row>
    <row r="33" spans="1:20" s="12" customFormat="1" ht="32.25" customHeight="1" thickBot="1" x14ac:dyDescent="0.3">
      <c r="A33" s="19">
        <f t="shared" si="5"/>
        <v>30</v>
      </c>
      <c r="B33" s="25" t="s">
        <v>48</v>
      </c>
      <c r="C33" s="26">
        <v>13</v>
      </c>
      <c r="D33" s="20" t="s">
        <v>21</v>
      </c>
      <c r="E33" s="21">
        <v>62</v>
      </c>
      <c r="F33" s="21">
        <v>62</v>
      </c>
      <c r="G33" s="21">
        <v>65</v>
      </c>
      <c r="H33" s="21"/>
      <c r="I33" s="21"/>
      <c r="J33" s="21">
        <f>Лист3!B31</f>
        <v>1.41</v>
      </c>
      <c r="K33" s="21">
        <f>Лист3!I31</f>
        <v>0.02</v>
      </c>
      <c r="L33" s="21">
        <f>Лист3!J31</f>
        <v>63</v>
      </c>
      <c r="M33" s="21">
        <f>Лист3!L31</f>
        <v>819</v>
      </c>
      <c r="O33" s="67">
        <v>13</v>
      </c>
      <c r="P33" s="21">
        <f t="shared" si="0"/>
        <v>63</v>
      </c>
      <c r="Q33" s="75">
        <f t="shared" si="1"/>
        <v>819</v>
      </c>
      <c r="R33" s="65">
        <f t="shared" si="2"/>
        <v>75.599999999999994</v>
      </c>
      <c r="S33" s="73">
        <f t="shared" si="3"/>
        <v>982.8</v>
      </c>
      <c r="T33" s="73">
        <f t="shared" si="4"/>
        <v>163.79999999999995</v>
      </c>
    </row>
    <row r="34" spans="1:20" s="12" customFormat="1" ht="27" customHeight="1" thickBot="1" x14ac:dyDescent="0.3">
      <c r="A34" s="19">
        <f t="shared" si="5"/>
        <v>31</v>
      </c>
      <c r="B34" s="25" t="s">
        <v>49</v>
      </c>
      <c r="C34" s="26">
        <v>724</v>
      </c>
      <c r="D34" s="20" t="s">
        <v>21</v>
      </c>
      <c r="E34" s="21">
        <v>27</v>
      </c>
      <c r="F34" s="21">
        <v>27</v>
      </c>
      <c r="G34" s="21">
        <v>30</v>
      </c>
      <c r="H34" s="21"/>
      <c r="I34" s="21"/>
      <c r="J34" s="21">
        <f>Лист3!B32</f>
        <v>1.41</v>
      </c>
      <c r="K34" s="21">
        <f>Лист3!I32</f>
        <v>0.05</v>
      </c>
      <c r="L34" s="21">
        <f>Лист3!J32</f>
        <v>28</v>
      </c>
      <c r="M34" s="21">
        <f>Лист3!L32</f>
        <v>20272</v>
      </c>
      <c r="O34" s="67">
        <v>724</v>
      </c>
      <c r="P34" s="21">
        <f t="shared" si="0"/>
        <v>28</v>
      </c>
      <c r="Q34" s="75">
        <f t="shared" si="1"/>
        <v>20272</v>
      </c>
      <c r="R34" s="65">
        <f t="shared" si="2"/>
        <v>33.6</v>
      </c>
      <c r="S34" s="73">
        <f t="shared" si="3"/>
        <v>24326.400000000001</v>
      </c>
      <c r="T34" s="73">
        <f t="shared" si="4"/>
        <v>4054.4000000000015</v>
      </c>
    </row>
    <row r="35" spans="1:20" s="12" customFormat="1" ht="45" customHeight="1" thickBot="1" x14ac:dyDescent="0.3">
      <c r="A35" s="19">
        <v>32</v>
      </c>
      <c r="B35" s="25" t="s">
        <v>50</v>
      </c>
      <c r="C35" s="40">
        <v>1000</v>
      </c>
      <c r="D35" s="20" t="s">
        <v>19</v>
      </c>
      <c r="E35" s="21">
        <v>10</v>
      </c>
      <c r="F35" s="21">
        <v>10</v>
      </c>
      <c r="G35" s="21">
        <v>15</v>
      </c>
      <c r="H35" s="21"/>
      <c r="I35" s="21"/>
      <c r="J35" s="21">
        <f>Лист3!B33</f>
        <v>2.36</v>
      </c>
      <c r="K35" s="21">
        <f>Лист3!I33</f>
        <v>0.2</v>
      </c>
      <c r="L35" s="21">
        <f>Лист3!J33</f>
        <v>10</v>
      </c>
      <c r="M35" s="21">
        <f>Лист3!L33</f>
        <v>10000</v>
      </c>
      <c r="O35" s="71">
        <v>1000</v>
      </c>
      <c r="P35" s="21">
        <f t="shared" si="0"/>
        <v>10</v>
      </c>
      <c r="Q35" s="75">
        <f t="shared" si="1"/>
        <v>10000</v>
      </c>
      <c r="R35" s="65">
        <f t="shared" si="2"/>
        <v>12</v>
      </c>
      <c r="S35" s="73">
        <f t="shared" si="3"/>
        <v>12000</v>
      </c>
      <c r="T35" s="73">
        <f t="shared" si="4"/>
        <v>2000</v>
      </c>
    </row>
    <row r="36" spans="1:20" s="12" customFormat="1" ht="33.75" customHeight="1" thickBot="1" x14ac:dyDescent="0.3">
      <c r="A36" s="19">
        <f t="shared" si="5"/>
        <v>33</v>
      </c>
      <c r="B36" s="25" t="s">
        <v>51</v>
      </c>
      <c r="C36" s="26">
        <v>679</v>
      </c>
      <c r="D36" s="20" t="s">
        <v>19</v>
      </c>
      <c r="E36" s="21">
        <v>65</v>
      </c>
      <c r="F36" s="21">
        <v>65</v>
      </c>
      <c r="G36" s="21">
        <v>65</v>
      </c>
      <c r="H36" s="21"/>
      <c r="I36" s="21"/>
      <c r="J36" s="21">
        <f>Лист3!B34</f>
        <v>0</v>
      </c>
      <c r="K36" s="21">
        <f>Лист3!I34</f>
        <v>0</v>
      </c>
      <c r="L36" s="21">
        <f>Лист3!J34</f>
        <v>65</v>
      </c>
      <c r="M36" s="21">
        <f>Лист3!L34</f>
        <v>44135</v>
      </c>
      <c r="O36" s="67">
        <v>679</v>
      </c>
      <c r="P36" s="21">
        <f t="shared" si="0"/>
        <v>65</v>
      </c>
      <c r="Q36" s="75">
        <f t="shared" si="1"/>
        <v>44135</v>
      </c>
      <c r="R36" s="65">
        <f t="shared" si="2"/>
        <v>78</v>
      </c>
      <c r="S36" s="73">
        <f t="shared" si="3"/>
        <v>52962</v>
      </c>
      <c r="T36" s="73">
        <f t="shared" si="4"/>
        <v>8827</v>
      </c>
    </row>
    <row r="37" spans="1:20" s="12" customFormat="1" ht="36" customHeight="1" thickBot="1" x14ac:dyDescent="0.3">
      <c r="A37" s="19">
        <f t="shared" si="5"/>
        <v>34</v>
      </c>
      <c r="B37" s="25" t="s">
        <v>52</v>
      </c>
      <c r="C37" s="26">
        <v>1332</v>
      </c>
      <c r="D37" s="20" t="s">
        <v>19</v>
      </c>
      <c r="E37" s="21">
        <v>16</v>
      </c>
      <c r="F37" s="22">
        <v>15</v>
      </c>
      <c r="G37" s="21">
        <v>15</v>
      </c>
      <c r="H37" s="21"/>
      <c r="I37" s="21"/>
      <c r="J37" s="21">
        <f>Лист3!B35</f>
        <v>0.47</v>
      </c>
      <c r="K37" s="21">
        <f>Лист3!I35</f>
        <v>0.03</v>
      </c>
      <c r="L37" s="21">
        <f>Лист3!J35</f>
        <v>15.333333333333334</v>
      </c>
      <c r="M37" s="21">
        <f>Лист3!L35</f>
        <v>20424</v>
      </c>
      <c r="O37" s="67">
        <v>1332</v>
      </c>
      <c r="P37" s="21">
        <f t="shared" si="0"/>
        <v>15.333333333333334</v>
      </c>
      <c r="Q37" s="75">
        <f t="shared" si="1"/>
        <v>20424</v>
      </c>
      <c r="R37" s="65">
        <f t="shared" si="2"/>
        <v>18.399999999999999</v>
      </c>
      <c r="S37" s="73">
        <f t="shared" si="3"/>
        <v>24508.799999999999</v>
      </c>
      <c r="T37" s="73">
        <f t="shared" si="4"/>
        <v>4084.7999999999993</v>
      </c>
    </row>
    <row r="38" spans="1:20" s="12" customFormat="1" ht="81.75" customHeight="1" thickBot="1" x14ac:dyDescent="0.3">
      <c r="A38" s="41">
        <f t="shared" si="5"/>
        <v>35</v>
      </c>
      <c r="B38" s="29" t="s">
        <v>53</v>
      </c>
      <c r="C38" s="42">
        <v>1200</v>
      </c>
      <c r="D38" s="43" t="s">
        <v>47</v>
      </c>
      <c r="E38" s="44">
        <v>321</v>
      </c>
      <c r="F38" s="22">
        <v>323</v>
      </c>
      <c r="G38" s="44">
        <v>325</v>
      </c>
      <c r="H38" s="44"/>
      <c r="I38" s="44"/>
      <c r="J38" s="44">
        <f>Лист3!B36</f>
        <v>1.63</v>
      </c>
      <c r="K38" s="44">
        <f>Лист3!I36</f>
        <v>0.01</v>
      </c>
      <c r="L38" s="44">
        <f>Лист3!J36</f>
        <v>323</v>
      </c>
      <c r="M38" s="44">
        <f>Лист3!L36</f>
        <v>387600</v>
      </c>
      <c r="O38" s="67">
        <v>1200</v>
      </c>
      <c r="P38" s="21">
        <f t="shared" si="0"/>
        <v>323</v>
      </c>
      <c r="Q38" s="75">
        <f t="shared" si="1"/>
        <v>387600</v>
      </c>
      <c r="R38" s="65">
        <f t="shared" si="2"/>
        <v>387.59999999999997</v>
      </c>
      <c r="S38" s="73">
        <f t="shared" si="3"/>
        <v>465119.99999999994</v>
      </c>
      <c r="T38" s="73">
        <f t="shared" si="4"/>
        <v>77519.999999999942</v>
      </c>
    </row>
    <row r="39" spans="1:20" ht="73.5" customHeight="1" thickBot="1" x14ac:dyDescent="0.3">
      <c r="A39" s="55">
        <f t="shared" si="5"/>
        <v>36</v>
      </c>
      <c r="B39" s="47" t="s">
        <v>54</v>
      </c>
      <c r="C39" s="53">
        <v>1200</v>
      </c>
      <c r="D39" s="48" t="s">
        <v>47</v>
      </c>
      <c r="E39" s="44">
        <v>297.5</v>
      </c>
      <c r="F39" s="22">
        <v>300</v>
      </c>
      <c r="G39" s="44">
        <v>300</v>
      </c>
      <c r="H39" s="44"/>
      <c r="I39" s="44"/>
      <c r="J39" s="44">
        <f>Лист3!B37</f>
        <v>1.18</v>
      </c>
      <c r="K39" s="44">
        <f>Лист3!I37</f>
        <v>0</v>
      </c>
      <c r="L39" s="44">
        <f>Лист3!J37</f>
        <v>299.16666666666669</v>
      </c>
      <c r="M39" s="44">
        <f>Лист3!L37</f>
        <v>359000</v>
      </c>
      <c r="O39" s="67">
        <v>1200</v>
      </c>
      <c r="P39" s="21">
        <f t="shared" si="0"/>
        <v>299.16666666666669</v>
      </c>
      <c r="Q39" s="75">
        <f t="shared" si="1"/>
        <v>359000</v>
      </c>
      <c r="R39" s="65">
        <f t="shared" si="2"/>
        <v>359</v>
      </c>
      <c r="S39" s="73">
        <f t="shared" si="3"/>
        <v>430800</v>
      </c>
      <c r="T39" s="73">
        <f t="shared" si="4"/>
        <v>71800</v>
      </c>
    </row>
    <row r="40" spans="1:20" ht="30" customHeight="1" thickBot="1" x14ac:dyDescent="0.3">
      <c r="A40" s="55">
        <f t="shared" si="5"/>
        <v>37</v>
      </c>
      <c r="B40" s="47" t="s">
        <v>55</v>
      </c>
      <c r="C40" s="35">
        <v>200</v>
      </c>
      <c r="D40" s="46" t="s">
        <v>19</v>
      </c>
      <c r="E40" s="44">
        <v>200</v>
      </c>
      <c r="F40" s="22">
        <v>201</v>
      </c>
      <c r="G40" s="44">
        <v>210</v>
      </c>
      <c r="H40" s="44"/>
      <c r="I40" s="44"/>
      <c r="J40" s="44">
        <f>Лист3!B38</f>
        <v>4.5</v>
      </c>
      <c r="K40" s="44">
        <f>Лист3!I38</f>
        <v>0.02</v>
      </c>
      <c r="L40" s="44">
        <f>Лист3!J38</f>
        <v>203.66666666666666</v>
      </c>
      <c r="M40" s="44">
        <f>Лист3!L38</f>
        <v>40733.33</v>
      </c>
      <c r="O40" s="67">
        <v>200</v>
      </c>
      <c r="P40" s="21">
        <f t="shared" si="0"/>
        <v>203.66666666666666</v>
      </c>
      <c r="Q40" s="75">
        <f t="shared" si="1"/>
        <v>40733.333333333328</v>
      </c>
      <c r="R40" s="65">
        <f t="shared" si="2"/>
        <v>244.39999999999998</v>
      </c>
      <c r="S40" s="73">
        <f t="shared" si="3"/>
        <v>48879.999999999993</v>
      </c>
      <c r="T40" s="73">
        <f t="shared" si="4"/>
        <v>8146.6666666666642</v>
      </c>
    </row>
    <row r="41" spans="1:20" ht="27.75" customHeight="1" thickBot="1" x14ac:dyDescent="0.3">
      <c r="A41" s="55">
        <f t="shared" si="5"/>
        <v>38</v>
      </c>
      <c r="B41" s="47" t="s">
        <v>56</v>
      </c>
      <c r="C41" s="35">
        <v>50</v>
      </c>
      <c r="D41" s="20" t="s">
        <v>19</v>
      </c>
      <c r="E41" s="44">
        <v>300</v>
      </c>
      <c r="F41" s="22">
        <v>312</v>
      </c>
      <c r="G41" s="44">
        <v>315</v>
      </c>
      <c r="H41" s="44"/>
      <c r="I41" s="44"/>
      <c r="J41" s="44">
        <f>Лист3!B39</f>
        <v>6.48</v>
      </c>
      <c r="K41" s="44">
        <f>Лист3!I39</f>
        <v>0.02</v>
      </c>
      <c r="L41" s="44">
        <f>Лист3!J39</f>
        <v>309</v>
      </c>
      <c r="M41" s="44">
        <f>Лист3!L39</f>
        <v>15450</v>
      </c>
      <c r="O41" s="67">
        <v>50</v>
      </c>
      <c r="P41" s="21">
        <f t="shared" si="0"/>
        <v>309</v>
      </c>
      <c r="Q41" s="75">
        <f t="shared" si="1"/>
        <v>15450</v>
      </c>
      <c r="R41" s="65">
        <f t="shared" si="2"/>
        <v>370.8</v>
      </c>
      <c r="S41" s="73">
        <f t="shared" si="3"/>
        <v>18540</v>
      </c>
      <c r="T41" s="73">
        <f t="shared" si="4"/>
        <v>3090</v>
      </c>
    </row>
    <row r="42" spans="1:20" ht="17.25" thickBot="1" x14ac:dyDescent="0.3">
      <c r="A42" s="55">
        <f t="shared" si="5"/>
        <v>39</v>
      </c>
      <c r="B42" s="47" t="s">
        <v>57</v>
      </c>
      <c r="C42" s="35">
        <v>500</v>
      </c>
      <c r="D42" s="20" t="s">
        <v>21</v>
      </c>
      <c r="E42" s="44">
        <v>560</v>
      </c>
      <c r="F42" s="22">
        <v>572</v>
      </c>
      <c r="G42" s="44">
        <v>575</v>
      </c>
      <c r="H42" s="44"/>
      <c r="I42" s="44"/>
      <c r="J42" s="44">
        <f>Лист3!B40</f>
        <v>6.48</v>
      </c>
      <c r="K42" s="44">
        <f>Лист3!I40</f>
        <v>0.01</v>
      </c>
      <c r="L42" s="44">
        <f>Лист3!J40</f>
        <v>569</v>
      </c>
      <c r="M42" s="44">
        <f>Лист3!L40</f>
        <v>284500</v>
      </c>
      <c r="O42" s="67">
        <v>500</v>
      </c>
      <c r="P42" s="21">
        <f t="shared" si="0"/>
        <v>569</v>
      </c>
      <c r="Q42" s="75">
        <f t="shared" si="1"/>
        <v>284500</v>
      </c>
      <c r="R42" s="65">
        <f t="shared" si="2"/>
        <v>682.8</v>
      </c>
      <c r="S42" s="73">
        <f t="shared" si="3"/>
        <v>341400</v>
      </c>
      <c r="T42" s="73">
        <f t="shared" si="4"/>
        <v>56900</v>
      </c>
    </row>
    <row r="43" spans="1:20" ht="16.5" x14ac:dyDescent="0.25">
      <c r="A43" s="55">
        <f t="shared" si="5"/>
        <v>40</v>
      </c>
      <c r="B43" s="47" t="s">
        <v>58</v>
      </c>
      <c r="C43" s="54">
        <v>250</v>
      </c>
      <c r="D43" s="43" t="s">
        <v>21</v>
      </c>
      <c r="E43" s="44">
        <v>844</v>
      </c>
      <c r="F43" s="45">
        <v>840</v>
      </c>
      <c r="G43" s="44">
        <v>850</v>
      </c>
      <c r="H43" s="44"/>
      <c r="I43" s="44"/>
      <c r="J43" s="44">
        <f>Лист3!B41</f>
        <v>4.1100000000000003</v>
      </c>
      <c r="K43" s="44">
        <f>Лист3!I41</f>
        <v>0</v>
      </c>
      <c r="L43" s="44">
        <f>Лист3!J41</f>
        <v>844.66666666666663</v>
      </c>
      <c r="M43" s="44">
        <f>Лист3!L41</f>
        <v>211166.67</v>
      </c>
      <c r="O43" s="78">
        <v>250</v>
      </c>
      <c r="P43" s="44">
        <f t="shared" si="0"/>
        <v>844.66666666666663</v>
      </c>
      <c r="Q43" s="79">
        <f t="shared" si="1"/>
        <v>211166.66666666666</v>
      </c>
      <c r="R43" s="80">
        <f t="shared" si="2"/>
        <v>1013.5999999999999</v>
      </c>
      <c r="S43" s="81">
        <f t="shared" si="3"/>
        <v>253399.99999999997</v>
      </c>
      <c r="T43" s="81">
        <f t="shared" si="4"/>
        <v>42233.333333333314</v>
      </c>
    </row>
    <row r="44" spans="1:20" ht="15.75" customHeight="1" x14ac:dyDescent="0.25">
      <c r="A44" s="55">
        <f t="shared" si="5"/>
        <v>41</v>
      </c>
      <c r="B44" s="47" t="s">
        <v>59</v>
      </c>
      <c r="C44" s="53">
        <v>36</v>
      </c>
      <c r="D44" s="48" t="s">
        <v>21</v>
      </c>
      <c r="E44" s="49">
        <v>722</v>
      </c>
      <c r="F44" s="50">
        <v>740</v>
      </c>
      <c r="G44" s="49">
        <v>750</v>
      </c>
      <c r="H44" s="49"/>
      <c r="I44" s="49"/>
      <c r="J44" s="49">
        <f>Лист3!B42</f>
        <v>11.59</v>
      </c>
      <c r="K44" s="49">
        <f>Лист3!I42</f>
        <v>0.02</v>
      </c>
      <c r="L44" s="49">
        <f>Лист3!J42</f>
        <v>737.33333333333337</v>
      </c>
      <c r="M44" s="49">
        <f>Лист3!L42</f>
        <v>26544</v>
      </c>
      <c r="O44" s="67">
        <v>36</v>
      </c>
      <c r="P44" s="49">
        <f t="shared" si="0"/>
        <v>737.33333333333337</v>
      </c>
      <c r="Q44" s="73">
        <f t="shared" si="1"/>
        <v>26544</v>
      </c>
      <c r="R44" s="65">
        <f t="shared" si="2"/>
        <v>884.80000000000007</v>
      </c>
      <c r="S44" s="73">
        <f t="shared" si="3"/>
        <v>31852.800000000003</v>
      </c>
      <c r="T44" s="73">
        <f t="shared" si="4"/>
        <v>5308.8000000000029</v>
      </c>
    </row>
    <row r="45" spans="1:20" x14ac:dyDescent="0.25">
      <c r="C45"/>
      <c r="D45"/>
      <c r="E45"/>
      <c r="F45"/>
      <c r="G45"/>
      <c r="H45"/>
      <c r="K45" t="s">
        <v>69</v>
      </c>
      <c r="L45" t="s">
        <v>72</v>
      </c>
      <c r="M45" s="9">
        <f>SUM(M4:M44)</f>
        <v>2185439.8400000003</v>
      </c>
      <c r="O45" s="1"/>
      <c r="P45" s="1"/>
      <c r="Q45" s="73">
        <v>2185439.84</v>
      </c>
      <c r="R45" s="1"/>
      <c r="S45" s="73">
        <v>2622527.81</v>
      </c>
      <c r="T45" s="73">
        <f>SUM(T4:T44)</f>
        <v>437087.96666666662</v>
      </c>
    </row>
    <row r="46" spans="1:20" x14ac:dyDescent="0.25">
      <c r="C46"/>
      <c r="D46"/>
      <c r="E46"/>
      <c r="F46"/>
      <c r="G46"/>
      <c r="H46"/>
      <c r="L46" t="s">
        <v>70</v>
      </c>
      <c r="M46" s="9">
        <f>M47-M45</f>
        <v>437087.96799999988</v>
      </c>
    </row>
    <row r="47" spans="1:20" x14ac:dyDescent="0.25">
      <c r="C47"/>
      <c r="D47"/>
      <c r="E47"/>
      <c r="F47"/>
      <c r="G47"/>
      <c r="H47"/>
      <c r="K47" t="s">
        <v>69</v>
      </c>
      <c r="L47" t="s">
        <v>71</v>
      </c>
      <c r="M47" s="9">
        <f>M45*1.2</f>
        <v>2622527.8080000002</v>
      </c>
    </row>
    <row r="48" spans="1:20" x14ac:dyDescent="0.25">
      <c r="C48"/>
      <c r="D48"/>
      <c r="E48"/>
      <c r="F48"/>
      <c r="G48"/>
      <c r="H48"/>
    </row>
    <row r="49" spans="2:19" x14ac:dyDescent="0.25">
      <c r="C49"/>
      <c r="D49"/>
      <c r="E49"/>
      <c r="F49"/>
      <c r="G49"/>
      <c r="H49"/>
    </row>
    <row r="50" spans="2:19" x14ac:dyDescent="0.25">
      <c r="C50"/>
      <c r="D50"/>
      <c r="E50"/>
      <c r="F50"/>
      <c r="G50"/>
      <c r="H50"/>
    </row>
    <row r="51" spans="2:19" x14ac:dyDescent="0.25">
      <c r="C51"/>
      <c r="D51"/>
      <c r="E51"/>
      <c r="F51"/>
      <c r="G51"/>
      <c r="H51"/>
    </row>
    <row r="52" spans="2:19" x14ac:dyDescent="0.25">
      <c r="C52"/>
      <c r="D52"/>
      <c r="E52"/>
      <c r="F52"/>
      <c r="G52"/>
      <c r="H52"/>
    </row>
    <row r="53" spans="2:19" x14ac:dyDescent="0.25">
      <c r="B53" t="s">
        <v>76</v>
      </c>
      <c r="C53"/>
      <c r="I53" s="12"/>
    </row>
    <row r="54" spans="2:19" x14ac:dyDescent="0.25">
      <c r="C54"/>
      <c r="I54" s="12"/>
    </row>
    <row r="55" spans="2:19" x14ac:dyDescent="0.25">
      <c r="B55" s="59" t="s">
        <v>68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2:19" x14ac:dyDescent="0.25">
      <c r="C56"/>
      <c r="I56" s="12"/>
    </row>
    <row r="57" spans="2:19" ht="15.75" thickBot="1" x14ac:dyDescent="0.3">
      <c r="C57"/>
      <c r="D57"/>
      <c r="E57"/>
      <c r="F57"/>
      <c r="G57"/>
      <c r="H57"/>
    </row>
    <row r="58" spans="2:19" ht="15.75" thickBot="1" x14ac:dyDescent="0.3">
      <c r="C58"/>
      <c r="D58"/>
      <c r="E58"/>
      <c r="F58"/>
      <c r="G58"/>
      <c r="H58"/>
      <c r="S58" s="76"/>
    </row>
    <row r="59" spans="2:19" ht="15.75" thickBot="1" x14ac:dyDescent="0.3">
      <c r="C59"/>
      <c r="D59"/>
      <c r="E59"/>
      <c r="F59"/>
      <c r="G59"/>
      <c r="H59"/>
      <c r="S59" s="77"/>
    </row>
    <row r="60" spans="2:19" ht="15.75" thickBot="1" x14ac:dyDescent="0.3">
      <c r="S60" s="77"/>
    </row>
    <row r="61" spans="2:19" ht="15.75" thickBot="1" x14ac:dyDescent="0.3">
      <c r="S61" s="77"/>
    </row>
    <row r="62" spans="2:19" ht="15.75" thickBot="1" x14ac:dyDescent="0.3">
      <c r="S62" s="77"/>
    </row>
    <row r="63" spans="2:19" ht="15.75" thickBot="1" x14ac:dyDescent="0.3">
      <c r="S63" s="77"/>
    </row>
    <row r="64" spans="2:19" ht="15.75" thickBot="1" x14ac:dyDescent="0.3">
      <c r="S64" s="77"/>
    </row>
    <row r="65" spans="19:19" ht="15.75" thickBot="1" x14ac:dyDescent="0.3">
      <c r="S65" s="77"/>
    </row>
    <row r="66" spans="19:19" ht="15.75" thickBot="1" x14ac:dyDescent="0.3">
      <c r="S66" s="77"/>
    </row>
    <row r="67" spans="19:19" ht="15.75" thickBot="1" x14ac:dyDescent="0.3">
      <c r="S67" s="77"/>
    </row>
    <row r="68" spans="19:19" ht="15.75" thickBot="1" x14ac:dyDescent="0.3">
      <c r="S68" s="77"/>
    </row>
    <row r="69" spans="19:19" ht="15.75" thickBot="1" x14ac:dyDescent="0.3">
      <c r="S69" s="77"/>
    </row>
    <row r="70" spans="19:19" ht="15.75" thickBot="1" x14ac:dyDescent="0.3">
      <c r="S70" s="77"/>
    </row>
    <row r="71" spans="19:19" ht="15.75" thickBot="1" x14ac:dyDescent="0.3">
      <c r="S71" s="77"/>
    </row>
    <row r="72" spans="19:19" ht="15.75" thickBot="1" x14ac:dyDescent="0.3">
      <c r="S72" s="77"/>
    </row>
    <row r="73" spans="19:19" ht="15.75" thickBot="1" x14ac:dyDescent="0.3">
      <c r="S73" s="77"/>
    </row>
    <row r="74" spans="19:19" ht="15.75" thickBot="1" x14ac:dyDescent="0.3">
      <c r="S74" s="77"/>
    </row>
    <row r="75" spans="19:19" ht="15.75" thickBot="1" x14ac:dyDescent="0.3">
      <c r="S75" s="77"/>
    </row>
    <row r="76" spans="19:19" ht="15.75" thickBot="1" x14ac:dyDescent="0.3">
      <c r="S76" s="77"/>
    </row>
    <row r="77" spans="19:19" ht="15.75" thickBot="1" x14ac:dyDescent="0.3">
      <c r="S77" s="77"/>
    </row>
    <row r="78" spans="19:19" ht="15.75" thickBot="1" x14ac:dyDescent="0.3">
      <c r="S78" s="77"/>
    </row>
    <row r="79" spans="19:19" ht="15.75" thickBot="1" x14ac:dyDescent="0.3">
      <c r="S79" s="77"/>
    </row>
    <row r="80" spans="19:19" ht="15.75" thickBot="1" x14ac:dyDescent="0.3">
      <c r="S80" s="77"/>
    </row>
    <row r="81" spans="19:19" ht="15.75" thickBot="1" x14ac:dyDescent="0.3">
      <c r="S81" s="77"/>
    </row>
    <row r="82" spans="19:19" ht="15.75" thickBot="1" x14ac:dyDescent="0.3">
      <c r="S82" s="77"/>
    </row>
    <row r="83" spans="19:19" ht="15.75" thickBot="1" x14ac:dyDescent="0.3">
      <c r="S83" s="77"/>
    </row>
    <row r="84" spans="19:19" ht="15.75" thickBot="1" x14ac:dyDescent="0.3">
      <c r="S84" s="77"/>
    </row>
    <row r="85" spans="19:19" ht="15.75" thickBot="1" x14ac:dyDescent="0.3">
      <c r="S85" s="77"/>
    </row>
    <row r="86" spans="19:19" ht="15.75" thickBot="1" x14ac:dyDescent="0.3">
      <c r="S86" s="77"/>
    </row>
    <row r="87" spans="19:19" ht="15.75" thickBot="1" x14ac:dyDescent="0.3">
      <c r="S87" s="77"/>
    </row>
    <row r="88" spans="19:19" ht="15.75" thickBot="1" x14ac:dyDescent="0.3">
      <c r="S88" s="77"/>
    </row>
    <row r="89" spans="19:19" ht="15.75" thickBot="1" x14ac:dyDescent="0.3">
      <c r="S89" s="77"/>
    </row>
    <row r="90" spans="19:19" ht="15.75" thickBot="1" x14ac:dyDescent="0.3">
      <c r="S90" s="77"/>
    </row>
    <row r="91" spans="19:19" ht="15.75" thickBot="1" x14ac:dyDescent="0.3">
      <c r="S91" s="77"/>
    </row>
    <row r="92" spans="19:19" ht="15.75" thickBot="1" x14ac:dyDescent="0.3">
      <c r="S92" s="77"/>
    </row>
    <row r="93" spans="19:19" ht="15.75" thickBot="1" x14ac:dyDescent="0.3">
      <c r="S93" s="77"/>
    </row>
    <row r="94" spans="19:19" ht="15.75" thickBot="1" x14ac:dyDescent="0.3">
      <c r="S94" s="77"/>
    </row>
    <row r="95" spans="19:19" ht="15.75" thickBot="1" x14ac:dyDescent="0.3">
      <c r="S95" s="77"/>
    </row>
    <row r="96" spans="19:19" ht="15.75" thickBot="1" x14ac:dyDescent="0.3">
      <c r="S96" s="77"/>
    </row>
    <row r="97" spans="19:19" ht="15.75" thickBot="1" x14ac:dyDescent="0.3">
      <c r="S97" s="77"/>
    </row>
    <row r="98" spans="19:19" ht="15.75" thickBot="1" x14ac:dyDescent="0.3">
      <c r="S98" s="77"/>
    </row>
  </sheetData>
  <mergeCells count="4">
    <mergeCell ref="B1:C1"/>
    <mergeCell ref="F1:K1"/>
    <mergeCell ref="V29:W29"/>
    <mergeCell ref="B55:N5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O4" sqref="O4"/>
    </sheetView>
  </sheetViews>
  <sheetFormatPr defaultRowHeight="15" x14ac:dyDescent="0.25"/>
  <cols>
    <col min="1" max="1" width="11.140625" customWidth="1"/>
    <col min="2" max="2" width="12" customWidth="1"/>
    <col min="3" max="3" width="8.85546875" customWidth="1"/>
    <col min="5" max="5" width="11.7109375" customWidth="1"/>
    <col min="7" max="7" width="11.140625" customWidth="1"/>
    <col min="8" max="8" width="11" hidden="1" customWidth="1"/>
    <col min="9" max="9" width="12.5703125" customWidth="1"/>
    <col min="10" max="10" width="17.140625" customWidth="1"/>
    <col min="11" max="11" width="8.85546875" customWidth="1"/>
    <col min="12" max="12" width="14" customWidth="1"/>
    <col min="14" max="14" width="9" customWidth="1"/>
    <col min="16" max="16" width="13.28515625" customWidth="1"/>
  </cols>
  <sheetData>
    <row r="1" spans="1:16" ht="60" x14ac:dyDescent="0.25">
      <c r="A1" s="2" t="s">
        <v>0</v>
      </c>
      <c r="B1" s="2" t="s">
        <v>1</v>
      </c>
      <c r="C1" s="2" t="s">
        <v>2</v>
      </c>
      <c r="D1" s="61" t="s">
        <v>3</v>
      </c>
      <c r="E1" s="62"/>
      <c r="F1" s="62"/>
      <c r="G1" s="62"/>
      <c r="H1" s="63"/>
      <c r="I1" s="4" t="s">
        <v>5</v>
      </c>
      <c r="J1" s="5" t="s">
        <v>4</v>
      </c>
      <c r="K1" s="6" t="s">
        <v>8</v>
      </c>
      <c r="L1" s="5" t="s">
        <v>6</v>
      </c>
      <c r="M1" s="5" t="s">
        <v>9</v>
      </c>
    </row>
    <row r="2" spans="1:16" ht="45" x14ac:dyDescent="0.25">
      <c r="A2" s="1">
        <f>SUM(Лист2!E4:I4)/M2</f>
        <v>5809.833333333333</v>
      </c>
      <c r="B2" s="1">
        <f>ROUND(SQRT(C2/M2),2)</f>
        <v>488.02</v>
      </c>
      <c r="C2" s="1">
        <f>ROUND(SUM(D2:H2),2)</f>
        <v>714505.16</v>
      </c>
      <c r="D2" s="1">
        <f>ROUND(IF(Лист2!E4&lt;=0, "нет данных", (Лист2!E4-Лист3!A2)^2),2)</f>
        <v>120640.44</v>
      </c>
      <c r="E2" s="1">
        <f>IF(Лист2!F4 &lt;= 0, "нет данных", (Лист2!F4-Лист3!A2)^2)</f>
        <v>117534.69444444423</v>
      </c>
      <c r="F2" s="1">
        <f>IF(Лист2!G4&lt;=0, "нет данных", (Лист2!G4-Лист3!A2)^2)</f>
        <v>476330.02777777822</v>
      </c>
      <c r="G2" s="1" t="str">
        <f>IF(Лист2!H4&lt;=0, "нет данных", (Лист2!H4-Лист3!A2)^2)</f>
        <v>нет данных</v>
      </c>
      <c r="H2" s="1" t="str">
        <f>IF(Лист2!I4&lt;=0, "нет данных", (Лист2!I4-A2)^2)</f>
        <v>нет данных</v>
      </c>
      <c r="I2" s="1">
        <f>ROUND(B2/A2,2)</f>
        <v>0.08</v>
      </c>
      <c r="J2" s="1">
        <f>IF(I2&gt;=0.32, "не принимать", IF(I2&lt;=0.05, A2, IF(I2&gt;0.05, K2)))</f>
        <v>5462.5</v>
      </c>
      <c r="K2" s="1">
        <f>MIN(Лист2!E4:G4)</f>
        <v>5462.5</v>
      </c>
      <c r="L2" s="1">
        <f>ROUND(J2*Лист2!C4,2)</f>
        <v>43700</v>
      </c>
      <c r="M2" s="1">
        <f>COUNTA(Лист2!E4:I4)</f>
        <v>3</v>
      </c>
      <c r="O2" s="8" t="s">
        <v>12</v>
      </c>
      <c r="P2" s="9">
        <f>SUM(Лист2!M4:M20)</f>
        <v>505055.17000000004</v>
      </c>
    </row>
    <row r="3" spans="1:16" x14ac:dyDescent="0.25">
      <c r="A3" s="1">
        <f>SUM(Лист2!E5:I5)/M3</f>
        <v>20231.166666666668</v>
      </c>
      <c r="B3" s="1">
        <f t="shared" ref="B3:B34" si="0">ROUND(SQRT(C3/M3),2)</f>
        <v>3607.73</v>
      </c>
      <c r="C3" s="1">
        <f t="shared" ref="C3:C34" si="1">ROUND(SUM(D3:H3),2)</f>
        <v>39047168.159999996</v>
      </c>
      <c r="D3" s="1">
        <f>ROUND(IF(Лист2!E5&lt;=0, "нет данных", (Лист2!E5-Лист3!A3)^2),2)</f>
        <v>662053.43999999994</v>
      </c>
      <c r="E3" s="1">
        <f>IF(Лист2!F5 &lt;= 0, "нет данных", (Лист2!F5-Лист3!A3)^2)</f>
        <v>15643343.361111121</v>
      </c>
      <c r="F3" s="1">
        <f>IF(Лист2!G5&lt;=0, "нет данных", (Лист2!G5-Лист3!A3)^2)</f>
        <v>22741771.361111101</v>
      </c>
      <c r="G3" s="1" t="str">
        <f>IF(Лист2!H5&lt;=0, "нет данных", (Лист2!H5-Лист3!A3)^2)</f>
        <v>нет данных</v>
      </c>
      <c r="H3" s="1" t="str">
        <f>IF(Лист2!I5&lt;=0, "нет данных", (Лист2!I5-A3)^2)</f>
        <v>нет данных</v>
      </c>
      <c r="I3" s="7">
        <f t="shared" ref="I3:I6" si="2">ROUND(B3/A3,2)</f>
        <v>0.18</v>
      </c>
      <c r="J3" s="1">
        <f t="shared" ref="J3:J34" si="3">IF(I3&gt;=0.32, "не принимать", IF(I3&lt;=0.05, A3, IF(I3&gt;0.05, K3)))</f>
        <v>16276</v>
      </c>
      <c r="K3" s="1">
        <f>MIN(Лист2!E5:G5)</f>
        <v>16276</v>
      </c>
      <c r="L3" s="1">
        <f>ROUND(J3*Лист2!C5,2)</f>
        <v>13997.36</v>
      </c>
      <c r="M3" s="1">
        <f>COUNTA(Лист2!E5:I5)</f>
        <v>3</v>
      </c>
      <c r="O3" s="8"/>
      <c r="P3" s="9"/>
    </row>
    <row r="4" spans="1:16" ht="45" x14ac:dyDescent="0.25">
      <c r="A4" s="1">
        <f>SUM(Лист2!E6:I6)/M4</f>
        <v>17243.55</v>
      </c>
      <c r="B4" s="1">
        <f t="shared" si="0"/>
        <v>1638.29</v>
      </c>
      <c r="C4" s="1">
        <f t="shared" si="1"/>
        <v>8052014.6200000001</v>
      </c>
      <c r="D4" s="1">
        <f>ROUND(IF(Лист2!E6&lt;=0, "нет данных", (Лист2!E6-Лист3!A4)^2),2)</f>
        <v>927176.41</v>
      </c>
      <c r="E4" s="1">
        <f>IF(Лист2!F6 &lt;= 0, "нет данных", (Лист2!F6-Лист3!A4)^2)</f>
        <v>1805126.6024999979</v>
      </c>
      <c r="F4" s="1">
        <f>IF(Лист2!G6&lt;=0, "нет данных", (Лист2!G6-Лист3!A4)^2)</f>
        <v>5319711.6025000038</v>
      </c>
      <c r="G4" s="1" t="str">
        <f>IF(Лист2!H6&lt;=0, "нет данных", (Лист2!H6-Лист3!A4)^2)</f>
        <v>нет данных</v>
      </c>
      <c r="H4" s="1" t="str">
        <f>IF(Лист2!I6&lt;=0, "нет данных", (Лист2!I6-A4)^2)</f>
        <v>нет данных</v>
      </c>
      <c r="I4" s="7">
        <f t="shared" ref="I4" si="4">ROUND(B4/A4,2)</f>
        <v>0.1</v>
      </c>
      <c r="J4" s="1">
        <f t="shared" si="3"/>
        <v>15900</v>
      </c>
      <c r="K4" s="1">
        <f>MIN(Лист2!E6:G6)</f>
        <v>15900</v>
      </c>
      <c r="L4" s="1">
        <f>ROUND(J4*Лист2!C6,2)</f>
        <v>116706</v>
      </c>
      <c r="M4" s="1">
        <f>COUNTA(Лист2!E6:I6)</f>
        <v>3</v>
      </c>
      <c r="O4" s="8" t="s">
        <v>13</v>
      </c>
      <c r="P4">
        <f>P2*1.2</f>
        <v>606066.20400000003</v>
      </c>
    </row>
    <row r="5" spans="1:16" x14ac:dyDescent="0.25">
      <c r="A5" s="1">
        <f>SUM(Лист2!E7:I7)/M5</f>
        <v>15166.666666666666</v>
      </c>
      <c r="B5" s="1">
        <f t="shared" si="0"/>
        <v>623.61</v>
      </c>
      <c r="C5" s="1">
        <f t="shared" si="1"/>
        <v>1166666.6599999999</v>
      </c>
      <c r="D5" s="1">
        <f>ROUND(IF(Лист2!E7&lt;=0, "нет данных", (Лист2!E7-Лист3!A5)^2),2)</f>
        <v>444444.44</v>
      </c>
      <c r="E5" s="1">
        <f>IF(Лист2!F7 &lt;= 0, "нет данных", (Лист2!F7-Лист3!A5)^2)</f>
        <v>694444.44444444543</v>
      </c>
      <c r="F5" s="1">
        <f>IF(Лист2!G7&lt;=0, "нет данных", (Лист2!G7-Лист3!A5)^2)</f>
        <v>27777.777777777577</v>
      </c>
      <c r="G5" s="1" t="str">
        <f>IF(Лист2!H7&lt;=0, "нет данных", (Лист2!H7-Лист3!A5)^2)</f>
        <v>нет данных</v>
      </c>
      <c r="H5" s="1" t="str">
        <f>IF(Лист2!I7&lt;=0, "нет данных", (Лист2!I7-A5)^2)</f>
        <v>нет данных</v>
      </c>
      <c r="I5" s="7">
        <f t="shared" si="2"/>
        <v>0.04</v>
      </c>
      <c r="J5" s="1">
        <f t="shared" si="3"/>
        <v>15166.666666666666</v>
      </c>
      <c r="K5" s="1">
        <f>MIN(Лист2!E7:G7)</f>
        <v>14500</v>
      </c>
      <c r="L5" s="1">
        <f>ROUND(J5*Лист2!C7,2)</f>
        <v>153941.67000000001</v>
      </c>
      <c r="M5" s="1">
        <f>COUNTA(Лист2!E7:I7)</f>
        <v>3</v>
      </c>
    </row>
    <row r="6" spans="1:16" x14ac:dyDescent="0.25">
      <c r="A6" s="1">
        <f>SUM(Лист2!E8:I8)/M6</f>
        <v>792.33333333333337</v>
      </c>
      <c r="B6" s="1">
        <f t="shared" si="0"/>
        <v>60.92</v>
      </c>
      <c r="C6" s="1">
        <f t="shared" si="1"/>
        <v>11132.66</v>
      </c>
      <c r="D6" s="1">
        <f>ROUND(IF(Лист2!E8&lt;=0, "нет данных", (Лист2!E8-Лист3!A6)^2),2)</f>
        <v>413.44</v>
      </c>
      <c r="E6" s="1">
        <f>IF(Лист2!F8 &lt;= 0, "нет данных", (Лист2!F8-Лист3!A6)^2)</f>
        <v>3885.4444444444493</v>
      </c>
      <c r="F6" s="1">
        <f>IF(Лист2!G8&lt;=0, "нет данных", (Лист2!G8-Лист3!A6)^2)</f>
        <v>6833.7777777777719</v>
      </c>
      <c r="G6" s="1" t="str">
        <f>IF(Лист2!H8&lt;=0, "нет данных", (Лист2!H8-Лист3!A6)^2)</f>
        <v>нет данных</v>
      </c>
      <c r="H6" s="1" t="str">
        <f>IF(Лист2!I8&lt;=0, "нет данных", (Лист2!I8-A6)^2)</f>
        <v>нет данных</v>
      </c>
      <c r="I6" s="7">
        <f t="shared" si="2"/>
        <v>0.08</v>
      </c>
      <c r="J6" s="1">
        <f t="shared" si="3"/>
        <v>730</v>
      </c>
      <c r="K6" s="1">
        <f>MIN(Лист2!E8:G8)</f>
        <v>730</v>
      </c>
      <c r="L6" s="1">
        <f>ROUND(J6*Лист2!C8,2)</f>
        <v>27010</v>
      </c>
      <c r="M6" s="1">
        <f>COUNTA(Лист2!E8:I8)</f>
        <v>3</v>
      </c>
    </row>
    <row r="7" spans="1:16" x14ac:dyDescent="0.25">
      <c r="A7" s="1">
        <f>SUM(Лист2!E9:I9)/M7</f>
        <v>106.71666666666665</v>
      </c>
      <c r="B7" s="1">
        <f t="shared" si="0"/>
        <v>6.22</v>
      </c>
      <c r="C7" s="1">
        <f t="shared" si="1"/>
        <v>116.18</v>
      </c>
      <c r="D7" s="1">
        <f>ROUND(IF(Лист2!E9&lt;=0, "нет данных", (Лист2!E9-Лист3!A7)^2),2)</f>
        <v>2.4500000000000002</v>
      </c>
      <c r="E7" s="1">
        <f>IF(Лист2!F9 &lt;= 0, "нет данных", (Лист2!F9-Лист3!A7)^2)</f>
        <v>45.113611111110949</v>
      </c>
      <c r="F7" s="1">
        <f>IF(Лист2!G9&lt;=0, "нет данных", (Лист2!G9-Лист3!A7)^2)</f>
        <v>68.613611111111311</v>
      </c>
      <c r="G7" s="1" t="str">
        <f>IF(Лист2!H9&lt;=0, "нет данных", (Лист2!H9-Лист3!A7)^2)</f>
        <v>нет данных</v>
      </c>
      <c r="H7" s="1" t="str">
        <f>IF(Лист2!I9&lt;=0, "нет данных", (Лист2!I9-A7)^2)</f>
        <v>нет данных</v>
      </c>
      <c r="I7" s="1">
        <f t="shared" ref="I7:I70" si="5">ROUND(B7/A7,2)</f>
        <v>0.06</v>
      </c>
      <c r="J7" s="1">
        <f t="shared" si="3"/>
        <v>100</v>
      </c>
      <c r="K7" s="1">
        <f>MIN(Лист2!E9:G9)</f>
        <v>100</v>
      </c>
      <c r="L7" s="1">
        <f>ROUND(J7*Лист2!C9,2)</f>
        <v>3900</v>
      </c>
      <c r="M7" s="1">
        <f>COUNTA(Лист2!E9:I9)</f>
        <v>3</v>
      </c>
    </row>
    <row r="8" spans="1:16" x14ac:dyDescent="0.25">
      <c r="A8" s="1">
        <f>SUM(Лист2!E10:I10)/M8</f>
        <v>22.386666666666667</v>
      </c>
      <c r="B8" s="1">
        <f t="shared" si="0"/>
        <v>0.85</v>
      </c>
      <c r="C8" s="1">
        <f t="shared" si="1"/>
        <v>2.16</v>
      </c>
      <c r="D8" s="1">
        <f>ROUND(IF(Лист2!E10&lt;=0, "нет данных", (Лист2!E10-Лист3!A8)^2),2)</f>
        <v>1.24</v>
      </c>
      <c r="E8" s="1">
        <f>IF(Лист2!F10 &lt;= 0, "нет данных", (Лист2!F10-Лист3!A8)^2)</f>
        <v>0.89617777777777541</v>
      </c>
      <c r="F8" s="1">
        <f>IF(Лист2!G10&lt;=0, "нет данных", (Лист2!G10-Лист3!A8)^2)</f>
        <v>2.7777777777778172E-2</v>
      </c>
      <c r="G8" s="1" t="str">
        <f>IF(Лист2!H10&lt;=0, "нет данных", (Лист2!H10-Лист3!A8)^2)</f>
        <v>нет данных</v>
      </c>
      <c r="H8" s="1" t="str">
        <f>IF(Лист2!I10&lt;=0, "нет данных", (Лист2!I10-A8)^2)</f>
        <v>нет данных</v>
      </c>
      <c r="I8" s="1">
        <f t="shared" si="5"/>
        <v>0.04</v>
      </c>
      <c r="J8" s="1">
        <f t="shared" si="3"/>
        <v>22.386666666666667</v>
      </c>
      <c r="K8" s="1">
        <f>MIN(Лист2!E10:G10)</f>
        <v>21.44</v>
      </c>
      <c r="L8" s="1">
        <f>ROUND(J8*Лист2!C10,2)</f>
        <v>15513.96</v>
      </c>
      <c r="M8" s="1">
        <f>COUNTA(Лист2!E10:I10)</f>
        <v>3</v>
      </c>
    </row>
    <row r="9" spans="1:16" x14ac:dyDescent="0.25">
      <c r="A9" s="1">
        <f>SUM(Лист2!E11:I11)/M9</f>
        <v>12.51</v>
      </c>
      <c r="B9" s="1">
        <f t="shared" si="0"/>
        <v>0.59</v>
      </c>
      <c r="C9" s="1">
        <f t="shared" si="1"/>
        <v>1.03</v>
      </c>
      <c r="D9" s="1">
        <f>ROUND(IF(Лист2!E11&lt;=0, "нет данных", (Лист2!E11-Лист3!A9)^2),2)</f>
        <v>0.1</v>
      </c>
      <c r="E9" s="1">
        <f>IF(Лист2!F11 &lt;= 0, "нет данных", (Лист2!F11-Лист3!A9)^2)</f>
        <v>0.26009999999999978</v>
      </c>
      <c r="F9" s="1">
        <f>IF(Лист2!G11&lt;=0, "нет данных", (Лист2!G11-Лист3!A9)^2)</f>
        <v>0.67240000000000044</v>
      </c>
      <c r="G9" s="1" t="str">
        <f>IF(Лист2!H11&lt;=0, "нет данных", (Лист2!H11-Лист3!A9)^2)</f>
        <v>нет данных</v>
      </c>
      <c r="H9" s="1" t="str">
        <f>IF(Лист2!I11&lt;=0, "нет данных", (Лист2!I11-A9)^2)</f>
        <v>нет данных</v>
      </c>
      <c r="I9" s="1">
        <f t="shared" si="5"/>
        <v>0.05</v>
      </c>
      <c r="J9" s="1">
        <f t="shared" si="3"/>
        <v>12.51</v>
      </c>
      <c r="K9" s="1">
        <f>MIN(Лист2!E11:G11)</f>
        <v>12</v>
      </c>
      <c r="L9" s="1">
        <f>ROUND(J9*Лист2!C11,2)</f>
        <v>13285.62</v>
      </c>
      <c r="M9" s="1">
        <f>COUNTA(Лист2!E11:I11)</f>
        <v>3</v>
      </c>
    </row>
    <row r="10" spans="1:16" x14ac:dyDescent="0.25">
      <c r="A10" s="1">
        <f>SUM(Лист2!E12:I12)/M10</f>
        <v>11.799999999999999</v>
      </c>
      <c r="B10" s="1">
        <f t="shared" si="0"/>
        <v>0.16</v>
      </c>
      <c r="C10" s="1">
        <f t="shared" si="1"/>
        <v>0.08</v>
      </c>
      <c r="D10" s="1">
        <f>ROUND(IF(Лист2!E12&lt;=0, "нет данных", (Лист2!E12-Лист3!A10)^2),2)</f>
        <v>0</v>
      </c>
      <c r="E10" s="1">
        <f>IF(Лист2!F12 &lt;= 0, "нет данных", (Лист2!F12-Лист3!A10)^2)</f>
        <v>3.9999999999999716E-2</v>
      </c>
      <c r="F10" s="1">
        <f>IF(Лист2!G12&lt;=0, "нет данных", (Лист2!G12-Лист3!A10)^2)</f>
        <v>4.0000000000000424E-2</v>
      </c>
      <c r="G10" s="1" t="str">
        <f>IF(Лист2!H12&lt;=0, "нет данных", (Лист2!H12-Лист3!A10)^2)</f>
        <v>нет данных</v>
      </c>
      <c r="H10" s="1" t="str">
        <f>IF(Лист2!I12&lt;=0, "нет данных", (Лист2!I12-A10)^2)</f>
        <v>нет данных</v>
      </c>
      <c r="I10" s="1">
        <f t="shared" si="5"/>
        <v>0.01</v>
      </c>
      <c r="J10" s="1">
        <f t="shared" si="3"/>
        <v>11.799999999999999</v>
      </c>
      <c r="K10" s="1">
        <f>MIN(Лист2!E12:G12)</f>
        <v>11.6</v>
      </c>
      <c r="L10" s="1">
        <f>ROUND(J10*Лист2!C12,2)</f>
        <v>3740.6</v>
      </c>
      <c r="M10" s="1">
        <f>COUNTA(Лист2!E12:I12)</f>
        <v>3</v>
      </c>
    </row>
    <row r="11" spans="1:16" x14ac:dyDescent="0.25">
      <c r="A11" s="1">
        <f>SUM(Лист2!E13:I13)/M11</f>
        <v>171.5</v>
      </c>
      <c r="B11" s="1">
        <f t="shared" si="0"/>
        <v>13.79</v>
      </c>
      <c r="C11" s="1">
        <f t="shared" si="1"/>
        <v>570.38</v>
      </c>
      <c r="D11" s="1">
        <f>ROUND(IF(Лист2!E13&lt;=0, "нет данных", (Лист2!E13-Лист3!A11)^2),2)</f>
        <v>93.7</v>
      </c>
      <c r="E11" s="1">
        <f>IF(Лист2!F13 &lt;= 0, "нет данных", (Лист2!F13-Лист3!A11)^2)</f>
        <v>96.432399999999859</v>
      </c>
      <c r="F11" s="1">
        <f>IF(Лист2!G13&lt;=0, "нет данных", (Лист2!G13-Лист3!A11)^2)</f>
        <v>380.25</v>
      </c>
      <c r="G11" s="1" t="str">
        <f>IF(Лист2!H13&lt;=0, "нет данных", (Лист2!H13-Лист3!A11)^2)</f>
        <v>нет данных</v>
      </c>
      <c r="H11" s="1" t="str">
        <f>IF(Лист2!I13&lt;=0, "нет данных", (Лист2!I13-A11)^2)</f>
        <v>нет данных</v>
      </c>
      <c r="I11" s="1">
        <f t="shared" si="5"/>
        <v>0.08</v>
      </c>
      <c r="J11" s="1">
        <f t="shared" si="3"/>
        <v>161.68</v>
      </c>
      <c r="K11" s="1">
        <f>MIN(Лист2!E13:G13)</f>
        <v>161.68</v>
      </c>
      <c r="L11" s="1">
        <f>ROUND(J11*Лист2!C13,2)</f>
        <v>3556.96</v>
      </c>
      <c r="M11" s="1">
        <f>COUNTA(Лист2!E13:I13)</f>
        <v>3</v>
      </c>
    </row>
    <row r="12" spans="1:16" x14ac:dyDescent="0.25">
      <c r="A12" s="1">
        <f>SUM(Лист2!E14:I14)/M12</f>
        <v>222.83333333333334</v>
      </c>
      <c r="B12" s="1">
        <f t="shared" si="0"/>
        <v>20.100000000000001</v>
      </c>
      <c r="C12" s="1">
        <f t="shared" si="1"/>
        <v>1212.17</v>
      </c>
      <c r="D12" s="1">
        <f>ROUND(IF(Лист2!E14&lt;=0, "нет данных", (Лист2!E14-Лист3!A12)^2),2)</f>
        <v>40.11</v>
      </c>
      <c r="E12" s="1">
        <f>IF(Лист2!F14 &lt;= 0, "нет данных", (Лист2!F14-Лист3!A12)^2)</f>
        <v>434.02777777777817</v>
      </c>
      <c r="F12" s="1">
        <f>IF(Лист2!G14&lt;=0, "нет данных", (Лист2!G14-Лист3!A12)^2)</f>
        <v>738.02777777777726</v>
      </c>
      <c r="G12" s="1" t="str">
        <f>IF(Лист2!H14&lt;=0, "нет данных", (Лист2!H14-Лист3!A12)^2)</f>
        <v>нет данных</v>
      </c>
      <c r="H12" s="1" t="str">
        <f>IF(Лист2!I14&lt;=0, "нет данных", (Лист2!I14-A12)^2)</f>
        <v>нет данных</v>
      </c>
      <c r="I12" s="1">
        <f t="shared" si="5"/>
        <v>0.09</v>
      </c>
      <c r="J12" s="1">
        <f t="shared" si="3"/>
        <v>202</v>
      </c>
      <c r="K12" s="1">
        <f>MIN(Лист2!E14:G14)</f>
        <v>202</v>
      </c>
      <c r="L12" s="1">
        <f>ROUND(J12*Лист2!C14,2)</f>
        <v>6060</v>
      </c>
      <c r="M12" s="1">
        <f>COUNTA(Лист2!E14:I14)</f>
        <v>3</v>
      </c>
    </row>
    <row r="13" spans="1:16" x14ac:dyDescent="0.25">
      <c r="A13" s="1">
        <f>SUM(Лист2!E15:I15)/M13</f>
        <v>330.56666666666666</v>
      </c>
      <c r="B13" s="1">
        <f t="shared" si="0"/>
        <v>13.76</v>
      </c>
      <c r="C13" s="1">
        <f t="shared" si="1"/>
        <v>567.92999999999995</v>
      </c>
      <c r="D13" s="1">
        <f>ROUND(IF(Лист2!E15&lt;=0, "нет данных", (Лист2!E15-Лист3!A13)^2),2)</f>
        <v>78.62</v>
      </c>
      <c r="E13" s="1">
        <f>IF(Лист2!F15 &lt;= 0, "нет данных", (Лист2!F15-Лист3!A13)^2)</f>
        <v>111.65444444444437</v>
      </c>
      <c r="F13" s="1">
        <f>IF(Лист2!G15&lt;=0, "нет данных", (Лист2!G15-Лист3!A13)^2)</f>
        <v>377.65444444444461</v>
      </c>
      <c r="G13" s="1" t="str">
        <f>IF(Лист2!H15&lt;=0, "нет данных", (Лист2!H15-Лист3!A13)^2)</f>
        <v>нет данных</v>
      </c>
      <c r="H13" s="1" t="str">
        <f>IF(Лист2!I15&lt;=0, "нет данных", (Лист2!I15-A13)^2)</f>
        <v>нет данных</v>
      </c>
      <c r="I13" s="1">
        <f t="shared" si="5"/>
        <v>0.04</v>
      </c>
      <c r="J13" s="1">
        <f t="shared" si="3"/>
        <v>330.56666666666666</v>
      </c>
      <c r="K13" s="1">
        <f>MIN(Лист2!E15:G15)</f>
        <v>320</v>
      </c>
      <c r="L13" s="1">
        <f>ROUND(J13*Лист2!C15,2)</f>
        <v>9917</v>
      </c>
      <c r="M13" s="1">
        <f>COUNTA(Лист2!E15:I15)</f>
        <v>3</v>
      </c>
    </row>
    <row r="14" spans="1:16" x14ac:dyDescent="0.25">
      <c r="A14" s="1">
        <f>SUM(Лист2!E16:I16)/M14</f>
        <v>241.33333333333334</v>
      </c>
      <c r="B14" s="1">
        <f t="shared" si="0"/>
        <v>6.13</v>
      </c>
      <c r="C14" s="1">
        <f t="shared" si="1"/>
        <v>112.67</v>
      </c>
      <c r="D14" s="1">
        <f>ROUND(IF(Лист2!E16&lt;=0, "нет данных", (Лист2!E16-Лист3!A14)^2),2)</f>
        <v>18.78</v>
      </c>
      <c r="E14" s="1">
        <f>IF(Лист2!F16 &lt;= 0, "нет данных", (Лист2!F16-Лист3!A14)^2)</f>
        <v>18.77777777777786</v>
      </c>
      <c r="F14" s="1">
        <f>IF(Лист2!G16&lt;=0, "нет данных", (Лист2!G16-Лист3!A14)^2)</f>
        <v>75.111111111110944</v>
      </c>
      <c r="G14" s="1" t="str">
        <f>IF(Лист2!H16&lt;=0, "нет данных", (Лист2!H16-Лист3!A14)^2)</f>
        <v>нет данных</v>
      </c>
      <c r="H14" s="1" t="str">
        <f>IF(Лист2!I16&lt;=0, "нет данных", (Лист2!I16-A14)^2)</f>
        <v>нет данных</v>
      </c>
      <c r="I14" s="7">
        <f t="shared" si="5"/>
        <v>0.03</v>
      </c>
      <c r="J14" s="1">
        <f t="shared" si="3"/>
        <v>241.33333333333334</v>
      </c>
      <c r="K14" s="1">
        <f>MIN(Лист2!E16:G16)</f>
        <v>237</v>
      </c>
      <c r="L14" s="1">
        <f>ROUND(J14*Лист2!C16,2)</f>
        <v>7722.67</v>
      </c>
      <c r="M14" s="1">
        <f>COUNTA(Лист2!E16:I16)</f>
        <v>3</v>
      </c>
    </row>
    <row r="15" spans="1:16" x14ac:dyDescent="0.25">
      <c r="A15" s="1">
        <f>SUM(Лист2!E17:I17)/M15</f>
        <v>215.33333333333334</v>
      </c>
      <c r="B15" s="1">
        <f t="shared" si="0"/>
        <v>24.57</v>
      </c>
      <c r="C15" s="1">
        <f t="shared" si="1"/>
        <v>1810.67</v>
      </c>
      <c r="D15" s="1">
        <f>ROUND(IF(Лист2!E17&lt;=0, "нет данных", (Лист2!E17-Лист3!A15)^2),2)</f>
        <v>373.78</v>
      </c>
      <c r="E15" s="1">
        <f>IF(Лист2!F17 &lt;= 0, "нет данных", (Лист2!F17-Лист3!A15)^2)</f>
        <v>235.1111111111114</v>
      </c>
      <c r="F15" s="1">
        <f>IF(Лист2!G17&lt;=0, "нет данных", (Лист2!G17-Лист3!A15)^2)</f>
        <v>1201.7777777777771</v>
      </c>
      <c r="G15" s="1" t="str">
        <f>IF(Лист2!H17&lt;=0, "нет данных", (Лист2!H17-Лист3!A15)^2)</f>
        <v>нет данных</v>
      </c>
      <c r="H15" s="1" t="str">
        <f>IF(Лист2!I17&lt;=0, "нет данных", (Лист2!I17-A15)^2)</f>
        <v>нет данных</v>
      </c>
      <c r="I15" s="7">
        <f t="shared" si="5"/>
        <v>0.11</v>
      </c>
      <c r="J15" s="1">
        <f t="shared" si="3"/>
        <v>196</v>
      </c>
      <c r="K15" s="1">
        <f>MIN(Лист2!E17:G17)</f>
        <v>196</v>
      </c>
      <c r="L15" s="1">
        <f>ROUND(J15*Лист2!C17,2)</f>
        <v>4508</v>
      </c>
      <c r="M15" s="1">
        <f>COUNTA(Лист2!E17:I17)</f>
        <v>3</v>
      </c>
    </row>
    <row r="16" spans="1:16" x14ac:dyDescent="0.25">
      <c r="A16" s="1">
        <f>SUM(Лист2!E18:I18)/M16</f>
        <v>215.33333333333334</v>
      </c>
      <c r="B16" s="1">
        <f t="shared" si="0"/>
        <v>24.57</v>
      </c>
      <c r="C16" s="1">
        <f t="shared" si="1"/>
        <v>1810.67</v>
      </c>
      <c r="D16" s="1">
        <f>ROUND(IF(Лист2!E18&lt;=0, "нет данных", (Лист2!E18-Лист3!A16)^2),2)</f>
        <v>373.78</v>
      </c>
      <c r="E16" s="1">
        <f>IF(Лист2!F18 &lt;= 0, "нет данных", (Лист2!F18-Лист3!A16)^2)</f>
        <v>235.1111111111114</v>
      </c>
      <c r="F16" s="1">
        <f>IF(Лист2!G18&lt;=0, "нет данных", (Лист2!G18-Лист3!A16)^2)</f>
        <v>1201.7777777777771</v>
      </c>
      <c r="G16" s="1" t="str">
        <f>IF(Лист2!H18&lt;=0, "нет данных", (Лист2!H18-Лист3!A16)^2)</f>
        <v>нет данных</v>
      </c>
      <c r="H16" s="1" t="str">
        <f>IF(Лист2!I18&lt;=0, "нет данных", (Лист2!I18-A16)^2)</f>
        <v>нет данных</v>
      </c>
      <c r="I16" s="1">
        <f t="shared" si="5"/>
        <v>0.11</v>
      </c>
      <c r="J16" s="1">
        <f t="shared" si="3"/>
        <v>196</v>
      </c>
      <c r="K16" s="1">
        <f>MIN(Лист2!E18:G18)</f>
        <v>196</v>
      </c>
      <c r="L16" s="1">
        <f>ROUND(J16*Лист2!C18,2)</f>
        <v>4508</v>
      </c>
      <c r="M16" s="1">
        <f>COUNTA(Лист2!E18:I18)</f>
        <v>3</v>
      </c>
    </row>
    <row r="17" spans="1:13" x14ac:dyDescent="0.25">
      <c r="A17" s="1">
        <f>SUM(Лист2!E19:I19)/M17</f>
        <v>394.66666666666669</v>
      </c>
      <c r="B17" s="1">
        <f t="shared" si="0"/>
        <v>4.5</v>
      </c>
      <c r="C17" s="1">
        <f t="shared" si="1"/>
        <v>60.67</v>
      </c>
      <c r="D17" s="1">
        <f>ROUND(IF(Лист2!E19&lt;=0, "нет данных", (Лист2!E19-Лист3!A17)^2),2)</f>
        <v>32.11</v>
      </c>
      <c r="E17" s="1">
        <f>IF(Лист2!F19 &lt;= 0, "нет данных", (Лист2!F19-Лист3!A17)^2)</f>
        <v>0.11111111111109848</v>
      </c>
      <c r="F17" s="1">
        <f>IF(Лист2!G19&lt;=0, "нет данных", (Лист2!G19-Лист3!A17)^2)</f>
        <v>28.444444444444244</v>
      </c>
      <c r="G17" s="1" t="str">
        <f>IF(Лист2!H19&lt;=0, "нет данных", (Лист2!H19-Лист3!A17)^2)</f>
        <v>нет данных</v>
      </c>
      <c r="H17" s="1" t="str">
        <f>IF(Лист2!I19&lt;=0, "нет данных", (Лист2!I19-A17)^2)</f>
        <v>нет данных</v>
      </c>
      <c r="I17" s="1">
        <f t="shared" si="5"/>
        <v>0.01</v>
      </c>
      <c r="J17" s="1">
        <f t="shared" si="3"/>
        <v>394.66666666666669</v>
      </c>
      <c r="K17" s="1">
        <f>MIN(Лист2!E19:G19)</f>
        <v>389</v>
      </c>
      <c r="L17" s="1">
        <f>ROUND(J17*Лист2!C19,2)</f>
        <v>3552</v>
      </c>
      <c r="M17" s="1">
        <f>COUNTA(Лист2!E19:I19)</f>
        <v>3</v>
      </c>
    </row>
    <row r="18" spans="1:13" x14ac:dyDescent="0.25">
      <c r="A18" s="1">
        <f>SUM(Лист2!E20:I20)/M18</f>
        <v>73435.333333333328</v>
      </c>
      <c r="B18" s="1">
        <f t="shared" si="0"/>
        <v>45.73</v>
      </c>
      <c r="C18" s="1">
        <f t="shared" si="1"/>
        <v>6274.67</v>
      </c>
      <c r="D18" s="1">
        <f>ROUND(IF(Лист2!E20&lt;=0, "нет данных", (Лист2!E20-Лист3!A18)^2),2)</f>
        <v>981.78</v>
      </c>
      <c r="E18" s="1">
        <f>IF(Лист2!F20 &lt;= 0, "нет данных", (Лист2!F20-Лист3!A18)^2)</f>
        <v>1111.1111111107878</v>
      </c>
      <c r="F18" s="1">
        <f>IF(Лист2!G20&lt;=0, "нет данных", (Лист2!G20-Лист3!A18)^2)</f>
        <v>4181.7777777784049</v>
      </c>
      <c r="G18" s="1" t="str">
        <f>IF(Лист2!H20&lt;=0, "нет данных", (Лист2!H20-Лист3!A18)^2)</f>
        <v>нет данных</v>
      </c>
      <c r="I18" s="1">
        <f t="shared" si="5"/>
        <v>0</v>
      </c>
      <c r="J18" s="1">
        <f t="shared" si="3"/>
        <v>73435.333333333328</v>
      </c>
      <c r="K18" s="1">
        <f>MIN(Лист2!E20:G20)</f>
        <v>73402</v>
      </c>
      <c r="L18" s="1">
        <f>ROUND(J18*Лист2!C20,2)</f>
        <v>73435.33</v>
      </c>
      <c r="M18" s="1">
        <f>COUNTA(Лист2!E20:I20)</f>
        <v>3</v>
      </c>
    </row>
    <row r="19" spans="1:13" x14ac:dyDescent="0.25">
      <c r="A19" s="1">
        <f>SUM(Лист2!E21:I21)/M19</f>
        <v>11992</v>
      </c>
      <c r="B19" s="1">
        <f t="shared" si="0"/>
        <v>11.31</v>
      </c>
      <c r="C19" s="1">
        <f t="shared" si="1"/>
        <v>384</v>
      </c>
      <c r="D19" s="1">
        <f>ROUND(IF(Лист2!E21&lt;=0, "нет данных", (Лист2!E21-Лист3!A19)^2),2)</f>
        <v>64</v>
      </c>
      <c r="E19" s="1">
        <f>IF(Лист2!F21 &lt;= 0, "нет данных", (Лист2!F21-Лист3!A19)^2)</f>
        <v>256</v>
      </c>
      <c r="F19" s="1">
        <f>IF(Лист2!G21&lt;=0, "нет данных", (Лист2!G21-Лист3!A19)^2)</f>
        <v>64</v>
      </c>
      <c r="G19" s="1" t="str">
        <f>IF(Лист2!H21&lt;=0, "нет данных", (Лист2!H21-Лист3!A19)^2)</f>
        <v>нет данных</v>
      </c>
      <c r="I19" s="1">
        <f t="shared" si="5"/>
        <v>0</v>
      </c>
      <c r="J19" s="1">
        <f t="shared" si="3"/>
        <v>11992</v>
      </c>
      <c r="K19" s="1">
        <f>MIN(Лист2!E21:G21)</f>
        <v>11976</v>
      </c>
      <c r="L19" s="1">
        <f>ROUND(J19*Лист2!C21,2)</f>
        <v>11992</v>
      </c>
      <c r="M19" s="1">
        <f>COUNTA(Лист2!E21:I21)</f>
        <v>3</v>
      </c>
    </row>
    <row r="20" spans="1:13" x14ac:dyDescent="0.25">
      <c r="A20" s="1">
        <f>SUM(Лист2!E22:I22)/M20</f>
        <v>13.666666666666666</v>
      </c>
      <c r="B20" s="1">
        <f t="shared" si="0"/>
        <v>0.94</v>
      </c>
      <c r="C20" s="1">
        <f t="shared" si="1"/>
        <v>2.66</v>
      </c>
      <c r="D20" s="1">
        <f>ROUND(IF(Лист2!E22&lt;=0, "нет данных", (Лист2!E22-Лист3!A20)^2),2)</f>
        <v>0.44</v>
      </c>
      <c r="E20" s="1">
        <f>IF(Лист2!F22 &lt;= 0, "нет данных", (Лист2!F22-Лист3!A20)^2)</f>
        <v>0.44444444444444364</v>
      </c>
      <c r="F20" s="1">
        <f>IF(Лист2!G22&lt;=0, "нет данных", (Лист2!G22-Лист3!A20)^2)</f>
        <v>1.7777777777777795</v>
      </c>
      <c r="G20" s="1" t="str">
        <f>IF(Лист2!H22&lt;=0, "нет данных", (Лист2!H22-Лист3!A20)^2)</f>
        <v>нет данных</v>
      </c>
      <c r="I20" s="1">
        <f t="shared" si="5"/>
        <v>7.0000000000000007E-2</v>
      </c>
      <c r="J20" s="1">
        <f t="shared" si="3"/>
        <v>13</v>
      </c>
      <c r="K20" s="1">
        <f>MIN(Лист2!E22:G22)</f>
        <v>13</v>
      </c>
      <c r="L20" s="1">
        <f>ROUND(J20*Лист2!C22,2)</f>
        <v>2340</v>
      </c>
      <c r="M20" s="1">
        <f>COUNTA(Лист2!E22:I22)</f>
        <v>3</v>
      </c>
    </row>
    <row r="21" spans="1:13" x14ac:dyDescent="0.25">
      <c r="A21" s="1">
        <f>SUM(Лист2!E23:I23)/M21</f>
        <v>4.333333333333333</v>
      </c>
      <c r="B21" s="1">
        <f t="shared" si="0"/>
        <v>0.47</v>
      </c>
      <c r="C21" s="1">
        <f t="shared" si="1"/>
        <v>0.67</v>
      </c>
      <c r="D21" s="1">
        <f>ROUND(IF(Лист2!E23&lt;=0, "нет данных", (Лист2!E23-Лист3!A21)^2),2)</f>
        <v>0.11</v>
      </c>
      <c r="E21" s="1">
        <f>IF(Лист2!F23 &lt;= 0, "нет данных", (Лист2!F23-Лист3!A21)^2)</f>
        <v>0.11111111111111091</v>
      </c>
      <c r="F21" s="1">
        <f>IF(Лист2!G23&lt;=0, "нет данных", (Лист2!G23-Лист3!A21)^2)</f>
        <v>0.44444444444444486</v>
      </c>
      <c r="G21" s="1" t="str">
        <f>IF(Лист2!H23&lt;=0, "нет данных", (Лист2!H23-Лист3!A21)^2)</f>
        <v>нет данных</v>
      </c>
      <c r="I21" s="1">
        <f t="shared" si="5"/>
        <v>0.11</v>
      </c>
      <c r="J21" s="1">
        <f t="shared" si="3"/>
        <v>4</v>
      </c>
      <c r="K21" s="1">
        <f>MIN(Лист2!E23:G23)</f>
        <v>4</v>
      </c>
      <c r="L21" s="1">
        <f>ROUND(J21*Лист2!C23,2)</f>
        <v>440</v>
      </c>
      <c r="M21" s="1">
        <f>COUNTA(Лист2!E23:I23)</f>
        <v>3</v>
      </c>
    </row>
    <row r="22" spans="1:13" x14ac:dyDescent="0.25">
      <c r="A22" s="1">
        <f>SUM(Лист2!E24:I24)/M22</f>
        <v>754.66666666666663</v>
      </c>
      <c r="B22" s="1">
        <f t="shared" si="0"/>
        <v>3.77</v>
      </c>
      <c r="C22" s="1">
        <f t="shared" si="1"/>
        <v>42.67</v>
      </c>
      <c r="D22" s="1">
        <f>ROUND(IF(Лист2!E24&lt;=0, "нет данных", (Лист2!E24-Лист3!A22)^2),2)</f>
        <v>7.11</v>
      </c>
      <c r="E22" s="1">
        <f>IF(Лист2!F24 &lt;= 0, "нет данных", (Лист2!F24-Лист3!A22)^2)</f>
        <v>7.1111111111109091</v>
      </c>
      <c r="F22" s="1">
        <f>IF(Лист2!G24&lt;=0, "нет данных", (Лист2!G24-Лист3!A22)^2)</f>
        <v>28.444444444444848</v>
      </c>
      <c r="G22" s="1" t="str">
        <f>IF(Лист2!H24&lt;=0, "нет данных", (Лист2!H24-Лист3!A22)^2)</f>
        <v>нет данных</v>
      </c>
      <c r="I22" s="1">
        <f t="shared" si="5"/>
        <v>0</v>
      </c>
      <c r="J22" s="1">
        <f t="shared" si="3"/>
        <v>754.66666666666663</v>
      </c>
      <c r="K22" s="1">
        <f>MIN(Лист2!E24:G24)</f>
        <v>752</v>
      </c>
      <c r="L22" s="1">
        <f>ROUND(J22*Лист2!C24,2)</f>
        <v>754.67</v>
      </c>
      <c r="M22" s="1">
        <f>COUNTA(Лист2!E24:I24)</f>
        <v>3</v>
      </c>
    </row>
    <row r="23" spans="1:13" x14ac:dyDescent="0.25">
      <c r="A23" s="1">
        <f>SUM(Лист2!E25:I25)/M23</f>
        <v>42</v>
      </c>
      <c r="B23" s="1">
        <f t="shared" si="0"/>
        <v>2.16</v>
      </c>
      <c r="C23" s="1">
        <f t="shared" si="1"/>
        <v>14</v>
      </c>
      <c r="D23" s="1">
        <f>ROUND(IF(Лист2!E25&lt;=0, "нет данных", (Лист2!E25-Лист3!A23)^2),2)</f>
        <v>4</v>
      </c>
      <c r="E23" s="1">
        <f>IF(Лист2!F25 &lt;= 0, "нет данных", (Лист2!F25-Лист3!A23)^2)</f>
        <v>1</v>
      </c>
      <c r="F23" s="1">
        <f>IF(Лист2!G25&lt;=0, "нет данных", (Лист2!G25-Лист3!A23)^2)</f>
        <v>9</v>
      </c>
      <c r="G23" s="1" t="str">
        <f>IF(Лист2!H25&lt;=0, "нет данных", (Лист2!H25-Лист3!A23)^2)</f>
        <v>нет данных</v>
      </c>
      <c r="I23" s="1">
        <f t="shared" si="5"/>
        <v>0.05</v>
      </c>
      <c r="J23" s="1">
        <f t="shared" si="3"/>
        <v>42</v>
      </c>
      <c r="K23" s="1">
        <f>MIN(Лист2!E25:G25)</f>
        <v>40</v>
      </c>
      <c r="L23" s="1">
        <f>ROUND(J23*Лист2!C25,2)</f>
        <v>1050</v>
      </c>
      <c r="M23" s="1">
        <f>COUNTA(Лист2!E25:I25)</f>
        <v>3</v>
      </c>
    </row>
    <row r="24" spans="1:13" x14ac:dyDescent="0.25">
      <c r="A24" s="1">
        <f>SUM(Лист2!E26:I26)/M24</f>
        <v>2821</v>
      </c>
      <c r="B24" s="1">
        <f t="shared" si="0"/>
        <v>127.38</v>
      </c>
      <c r="C24" s="1">
        <f t="shared" si="1"/>
        <v>48674</v>
      </c>
      <c r="D24" s="1">
        <f>ROUND(IF(Лист2!E26&lt;=0, "нет данных", (Лист2!E26-Лист3!A24)^2),2)</f>
        <v>11449</v>
      </c>
      <c r="E24" s="1">
        <f>IF(Лист2!F26 &lt;= 0, "нет данных", (Лист2!F26-Лист3!A24)^2)</f>
        <v>5184</v>
      </c>
      <c r="F24" s="1">
        <f>IF(Лист2!G26&lt;=0, "нет данных", (Лист2!G26-Лист3!A24)^2)</f>
        <v>32041</v>
      </c>
      <c r="G24" s="1" t="str">
        <f>IF(Лист2!H26&lt;=0, "нет данных", (Лист2!H26-Лист3!A24)^2)</f>
        <v>нет данных</v>
      </c>
      <c r="I24" s="1">
        <f t="shared" si="5"/>
        <v>0.05</v>
      </c>
      <c r="J24" s="1">
        <f t="shared" si="3"/>
        <v>2821</v>
      </c>
      <c r="K24" s="1">
        <f>MIN(Лист2!E26:G26)</f>
        <v>2714</v>
      </c>
      <c r="L24" s="1">
        <f>ROUND(J24*Лист2!C26,2)</f>
        <v>19747</v>
      </c>
      <c r="M24" s="1">
        <f>COUNTA(Лист2!E26:I26)</f>
        <v>3</v>
      </c>
    </row>
    <row r="25" spans="1:13" x14ac:dyDescent="0.25">
      <c r="A25" s="1">
        <f>SUM(Лист2!E27:I27)/M25</f>
        <v>1851.3333333333333</v>
      </c>
      <c r="B25" s="1">
        <f t="shared" si="0"/>
        <v>107.41</v>
      </c>
      <c r="C25" s="1">
        <f t="shared" si="1"/>
        <v>34610.660000000003</v>
      </c>
      <c r="D25" s="1">
        <f>ROUND(IF(Лист2!E27&lt;=0, "нет данных", (Лист2!E27-Лист3!A25)^2),2)</f>
        <v>10268.44</v>
      </c>
      <c r="E25" s="1">
        <f>IF(Лист2!F27 &lt;= 0, "нет данных", (Лист2!F27-Лист3!A25)^2)</f>
        <v>2240.4444444444371</v>
      </c>
      <c r="F25" s="1">
        <f>IF(Лист2!G27&lt;=0, "нет данных", (Лист2!G27-Лист3!A25)^2)</f>
        <v>22101.777777777799</v>
      </c>
      <c r="G25" s="1" t="str">
        <f>IF(Лист2!H27&lt;=0, "нет данных", (Лист2!H27-Лист3!A25)^2)</f>
        <v>нет данных</v>
      </c>
      <c r="I25" s="1">
        <f t="shared" si="5"/>
        <v>0.06</v>
      </c>
      <c r="J25" s="1">
        <f t="shared" si="3"/>
        <v>1750</v>
      </c>
      <c r="K25" s="1">
        <f>MIN(Лист2!E27:G27)</f>
        <v>1750</v>
      </c>
      <c r="L25" s="1">
        <f>ROUND(J25*Лист2!C27,2)</f>
        <v>14000</v>
      </c>
      <c r="M25" s="1">
        <f>COUNTA(Лист2!E27:I27)</f>
        <v>3</v>
      </c>
    </row>
    <row r="26" spans="1:13" x14ac:dyDescent="0.25">
      <c r="A26" s="1">
        <f>SUM(Лист2!E28:I28)/M26</f>
        <v>4394.666666666667</v>
      </c>
      <c r="B26" s="1">
        <f t="shared" si="0"/>
        <v>74.7</v>
      </c>
      <c r="C26" s="1">
        <f t="shared" si="1"/>
        <v>16740.669999999998</v>
      </c>
      <c r="D26" s="1">
        <f>ROUND(IF(Лист2!E28&lt;=0, "нет данных", (Лист2!E28-Лист3!A26)^2),2)</f>
        <v>3560.11</v>
      </c>
      <c r="E26" s="1">
        <f>IF(Лист2!F28 &lt;= 0, "нет данных", (Лист2!F28-Лист3!A26)^2)</f>
        <v>2085.4444444444721</v>
      </c>
      <c r="F26" s="1">
        <f>IF(Лист2!G28&lt;=0, "нет данных", (Лист2!G28-Лист3!A26)^2)</f>
        <v>11095.111111111048</v>
      </c>
      <c r="G26" s="1" t="str">
        <f>IF(Лист2!H28&lt;=0, "нет данных", (Лист2!H28-Лист3!A26)^2)</f>
        <v>нет данных</v>
      </c>
      <c r="I26" s="1">
        <f t="shared" si="5"/>
        <v>0.02</v>
      </c>
      <c r="J26" s="1">
        <f t="shared" si="3"/>
        <v>4394.666666666667</v>
      </c>
      <c r="K26" s="1">
        <f>MIN(Лист2!E28:G28)</f>
        <v>4335</v>
      </c>
      <c r="L26" s="1">
        <f>ROUND(J26*Лист2!C28,2)</f>
        <v>13184</v>
      </c>
      <c r="M26" s="1">
        <f>COUNTA(Лист2!E28:I28)</f>
        <v>3</v>
      </c>
    </row>
    <row r="27" spans="1:13" x14ac:dyDescent="0.25">
      <c r="A27" s="1">
        <f>SUM(Лист2!E29:I29)/M27</f>
        <v>527.66666666666663</v>
      </c>
      <c r="B27" s="1">
        <f t="shared" si="0"/>
        <v>15.8</v>
      </c>
      <c r="C27" s="1">
        <f t="shared" si="1"/>
        <v>748.67</v>
      </c>
      <c r="D27" s="1">
        <f>ROUND(IF(Лист2!E29&lt;=0, "нет данных", (Лист2!E29-Лист3!A27)^2),2)</f>
        <v>113.78</v>
      </c>
      <c r="E27" s="1">
        <f>IF(Лист2!F29 &lt;= 0, "нет данных", (Лист2!F29-Лист3!A27)^2)</f>
        <v>136.11111111111023</v>
      </c>
      <c r="F27" s="1">
        <f>IF(Лист2!G29&lt;=0, "нет данных", (Лист2!G29-Лист3!A27)^2)</f>
        <v>498.77777777777948</v>
      </c>
      <c r="G27" s="1" t="str">
        <f>IF(Лист2!H29&lt;=0, "нет данных", (Лист2!H29-Лист3!A27)^2)</f>
        <v>нет данных</v>
      </c>
      <c r="I27" s="1">
        <f t="shared" si="5"/>
        <v>0.03</v>
      </c>
      <c r="J27" s="1">
        <f t="shared" si="3"/>
        <v>527.66666666666663</v>
      </c>
      <c r="K27" s="1">
        <f>MIN(Лист2!E29:G29)</f>
        <v>516</v>
      </c>
      <c r="L27" s="1">
        <f>ROUND(J27*Лист2!C29,2)</f>
        <v>6332</v>
      </c>
      <c r="M27" s="1">
        <f>COUNTA(Лист2!E29:I29)</f>
        <v>3</v>
      </c>
    </row>
    <row r="28" spans="1:13" x14ac:dyDescent="0.25">
      <c r="A28" s="1">
        <f>SUM(Лист2!E30:I30)/M28</f>
        <v>995.66666666666663</v>
      </c>
      <c r="B28" s="1">
        <f t="shared" si="0"/>
        <v>6.13</v>
      </c>
      <c r="C28" s="1">
        <f t="shared" si="1"/>
        <v>112.67</v>
      </c>
      <c r="D28" s="1">
        <f>ROUND(IF(Лист2!E30&lt;=0, "нет данных", (Лист2!E30-Лист3!A28)^2),2)</f>
        <v>18.78</v>
      </c>
      <c r="E28" s="1">
        <f>IF(Лист2!F30 &lt;= 0, "нет данных", (Лист2!F30-Лист3!A28)^2)</f>
        <v>75.111111111110461</v>
      </c>
      <c r="F28" s="1">
        <f>IF(Лист2!G30&lt;=0, "нет данных", (Лист2!G30-Лист3!A28)^2)</f>
        <v>18.777777777778105</v>
      </c>
      <c r="G28" s="1" t="str">
        <f>IF(Лист2!H30&lt;=0, "нет данных", (Лист2!H30-Лист3!A28)^2)</f>
        <v>нет данных</v>
      </c>
      <c r="I28" s="1">
        <f t="shared" si="5"/>
        <v>0.01</v>
      </c>
      <c r="J28" s="1">
        <f t="shared" si="3"/>
        <v>995.66666666666663</v>
      </c>
      <c r="K28" s="1">
        <f>MIN(Лист2!E30:G30)</f>
        <v>987</v>
      </c>
      <c r="L28" s="1">
        <f>ROUND(J28*Лист2!C30,2)</f>
        <v>2987</v>
      </c>
      <c r="M28" s="1">
        <f>COUNTA(Лист2!E30:I30)</f>
        <v>3</v>
      </c>
    </row>
    <row r="29" spans="1:13" x14ac:dyDescent="0.25">
      <c r="A29" s="1">
        <f>SUM(Лист2!E31:I31)/M29</f>
        <v>4266</v>
      </c>
      <c r="B29" s="1">
        <f t="shared" si="0"/>
        <v>165.54</v>
      </c>
      <c r="C29" s="1">
        <f t="shared" si="1"/>
        <v>82206</v>
      </c>
      <c r="D29" s="1">
        <f>ROUND(IF(Лист2!E31&lt;=0, "нет данных", (Лист2!E31-Лист3!A29)^2),2)</f>
        <v>15129</v>
      </c>
      <c r="E29" s="1">
        <f>IF(Лист2!F31 &lt;= 0, "нет данных", (Лист2!F31-Лист3!A29)^2)</f>
        <v>12321</v>
      </c>
      <c r="F29" s="1">
        <f>IF(Лист2!G31&lt;=0, "нет данных", (Лист2!G31-Лист3!A29)^2)</f>
        <v>54756</v>
      </c>
      <c r="G29" s="1" t="str">
        <f>IF(Лист2!H31&lt;=0, "нет данных", (Лист2!H31-Лист3!A29)^2)</f>
        <v>нет данных</v>
      </c>
      <c r="I29" s="1">
        <f t="shared" si="5"/>
        <v>0.04</v>
      </c>
      <c r="J29" s="1">
        <f t="shared" si="3"/>
        <v>4266</v>
      </c>
      <c r="K29" s="1">
        <f>MIN(Лист2!E31:G31)</f>
        <v>4143</v>
      </c>
      <c r="L29" s="1">
        <f>ROUND(J29*Лист2!C31,2)</f>
        <v>149310</v>
      </c>
      <c r="M29" s="1">
        <f>COUNTA(Лист2!E31:I31)</f>
        <v>3</v>
      </c>
    </row>
    <row r="30" spans="1:13" x14ac:dyDescent="0.25">
      <c r="A30" s="1">
        <f>SUM(Лист2!E32:I32)/M30</f>
        <v>737.33333333333337</v>
      </c>
      <c r="B30" s="1">
        <f t="shared" si="0"/>
        <v>8.9600000000000009</v>
      </c>
      <c r="C30" s="1">
        <f t="shared" si="1"/>
        <v>240.67</v>
      </c>
      <c r="D30" s="1">
        <f>ROUND(IF(Лист2!E32&lt;=0, "нет данных", (Лист2!E32-Лист3!A30)^2),2)</f>
        <v>40.11</v>
      </c>
      <c r="E30" s="1">
        <f>IF(Лист2!F32 &lt;= 0, "нет данных", (Лист2!F32-Лист3!A30)^2)</f>
        <v>40.11111111111159</v>
      </c>
      <c r="F30" s="1">
        <f>IF(Лист2!G32&lt;=0, "нет данных", (Лист2!G32-Лист3!A30)^2)</f>
        <v>160.44444444444349</v>
      </c>
      <c r="G30" s="1" t="str">
        <f>IF(Лист2!H32&lt;=0, "нет данных", (Лист2!H32-Лист3!A30)^2)</f>
        <v>нет данных</v>
      </c>
      <c r="I30" s="1">
        <f t="shared" si="5"/>
        <v>0.01</v>
      </c>
      <c r="J30" s="1">
        <f t="shared" si="3"/>
        <v>737.33333333333337</v>
      </c>
      <c r="K30" s="1">
        <f>MIN(Лист2!E32:G32)</f>
        <v>731</v>
      </c>
      <c r="L30" s="1">
        <f>ROUND(J30*Лист2!C32,2)</f>
        <v>37604</v>
      </c>
      <c r="M30" s="1">
        <f>COUNTA(Лист2!E32:I32)</f>
        <v>3</v>
      </c>
    </row>
    <row r="31" spans="1:13" x14ac:dyDescent="0.25">
      <c r="A31" s="1">
        <f>SUM(Лист2!E33:I33)/M31</f>
        <v>63</v>
      </c>
      <c r="B31" s="1">
        <f t="shared" si="0"/>
        <v>1.41</v>
      </c>
      <c r="C31" s="1">
        <f t="shared" si="1"/>
        <v>6</v>
      </c>
      <c r="D31" s="1">
        <f>ROUND(IF(Лист2!E33&lt;=0, "нет данных", (Лист2!E33-Лист3!A31)^2),2)</f>
        <v>1</v>
      </c>
      <c r="E31" s="1">
        <f>IF(Лист2!F33 &lt;= 0, "нет данных", (Лист2!F33-Лист3!A31)^2)</f>
        <v>1</v>
      </c>
      <c r="F31" s="1">
        <f>IF(Лист2!G33&lt;=0, "нет данных", (Лист2!G33-Лист3!A31)^2)</f>
        <v>4</v>
      </c>
      <c r="G31" s="1" t="str">
        <f>IF(Лист2!H33&lt;=0, "нет данных", (Лист2!H33-Лист3!A31)^2)</f>
        <v>нет данных</v>
      </c>
      <c r="I31" s="1">
        <f t="shared" si="5"/>
        <v>0.02</v>
      </c>
      <c r="J31" s="1">
        <f t="shared" si="3"/>
        <v>63</v>
      </c>
      <c r="K31" s="1">
        <f>MIN(Лист2!E33:G33)</f>
        <v>62</v>
      </c>
      <c r="L31" s="1">
        <f>ROUND(J31*Лист2!C33,2)</f>
        <v>819</v>
      </c>
      <c r="M31" s="1">
        <f>COUNTA(Лист2!E33:I33)</f>
        <v>3</v>
      </c>
    </row>
    <row r="32" spans="1:13" x14ac:dyDescent="0.25">
      <c r="A32" s="1">
        <f>SUM(Лист2!E34:I34)/M32</f>
        <v>28</v>
      </c>
      <c r="B32" s="1">
        <f t="shared" si="0"/>
        <v>1.41</v>
      </c>
      <c r="C32" s="1">
        <f t="shared" si="1"/>
        <v>6</v>
      </c>
      <c r="D32" s="1">
        <f>ROUND(IF(Лист2!E34&lt;=0, "нет данных", (Лист2!E34-Лист3!A32)^2),2)</f>
        <v>1</v>
      </c>
      <c r="E32" s="1">
        <f>IF(Лист2!F34 &lt;= 0, "нет данных", (Лист2!F34-Лист3!A32)^2)</f>
        <v>1</v>
      </c>
      <c r="F32" s="1">
        <f>IF(Лист2!G34&lt;=0, "нет данных", (Лист2!G34-Лист3!A32)^2)</f>
        <v>4</v>
      </c>
      <c r="G32" s="1" t="str">
        <f>IF(Лист2!H34&lt;=0, "нет данных", (Лист2!H34-Лист3!A32)^2)</f>
        <v>нет данных</v>
      </c>
      <c r="I32" s="1">
        <f t="shared" si="5"/>
        <v>0.05</v>
      </c>
      <c r="J32" s="1">
        <f t="shared" si="3"/>
        <v>28</v>
      </c>
      <c r="K32" s="1">
        <f>MIN(Лист2!E34:G34)</f>
        <v>27</v>
      </c>
      <c r="L32" s="1">
        <f>ROUND(J32*Лист2!C34,2)</f>
        <v>20272</v>
      </c>
      <c r="M32" s="1">
        <f>COUNTA(Лист2!E34:I34)</f>
        <v>3</v>
      </c>
    </row>
    <row r="33" spans="1:13" x14ac:dyDescent="0.25">
      <c r="A33" s="1">
        <f>SUM(Лист2!E35:I35)/M33</f>
        <v>11.666666666666666</v>
      </c>
      <c r="B33" s="1">
        <f t="shared" si="0"/>
        <v>2.36</v>
      </c>
      <c r="C33" s="1">
        <f t="shared" si="1"/>
        <v>16.670000000000002</v>
      </c>
      <c r="D33" s="1">
        <f>ROUND(IF(Лист2!E35&lt;=0, "нет данных", (Лист2!E35-Лист3!A33)^2),2)</f>
        <v>2.78</v>
      </c>
      <c r="E33" s="1">
        <f>IF(Лист2!F35 &lt;= 0, "нет данных", (Лист2!F35-Лист3!A33)^2)</f>
        <v>2.7777777777777759</v>
      </c>
      <c r="F33" s="1">
        <f>IF(Лист2!G35&lt;=0, "нет данных", (Лист2!G35-Лист3!A33)^2)</f>
        <v>11.111111111111114</v>
      </c>
      <c r="G33" s="1" t="str">
        <f>IF(Лист2!H35&lt;=0, "нет данных", (Лист2!H35-Лист3!A33)^2)</f>
        <v>нет данных</v>
      </c>
      <c r="I33" s="1">
        <f t="shared" si="5"/>
        <v>0.2</v>
      </c>
      <c r="J33" s="1">
        <f t="shared" si="3"/>
        <v>10</v>
      </c>
      <c r="K33" s="1">
        <f>MIN(Лист2!E35:G35)</f>
        <v>10</v>
      </c>
      <c r="L33" s="1">
        <f>ROUND(J33*Лист2!C35,2)</f>
        <v>10000</v>
      </c>
      <c r="M33" s="1">
        <f>COUNTA(Лист2!E35:I35)</f>
        <v>3</v>
      </c>
    </row>
    <row r="34" spans="1:13" x14ac:dyDescent="0.25">
      <c r="A34" s="1">
        <f>SUM(Лист2!E36:I36)/M34</f>
        <v>65</v>
      </c>
      <c r="B34" s="1">
        <f t="shared" si="0"/>
        <v>0</v>
      </c>
      <c r="C34" s="1">
        <f t="shared" si="1"/>
        <v>0</v>
      </c>
      <c r="D34" s="1">
        <f>ROUND(IF(Лист2!E36&lt;=0, "нет данных", (Лист2!E36-Лист3!A34)^2),2)</f>
        <v>0</v>
      </c>
      <c r="E34" s="1">
        <f>IF(Лист2!F36 &lt;= 0, "нет данных", (Лист2!F36-Лист3!A34)^2)</f>
        <v>0</v>
      </c>
      <c r="F34" s="1">
        <f>IF(Лист2!G36&lt;=0, "нет данных", (Лист2!G36-Лист3!A34)^2)</f>
        <v>0</v>
      </c>
      <c r="G34" s="1" t="str">
        <f>IF(Лист2!H36&lt;=0, "нет данных", (Лист2!H36-Лист3!A34)^2)</f>
        <v>нет данных</v>
      </c>
      <c r="I34" s="1">
        <f t="shared" si="5"/>
        <v>0</v>
      </c>
      <c r="J34" s="1">
        <f t="shared" si="3"/>
        <v>65</v>
      </c>
      <c r="K34" s="1">
        <f>MIN(Лист2!E36:G36)</f>
        <v>65</v>
      </c>
      <c r="L34" s="1">
        <f>ROUND(J34*Лист2!C36,2)</f>
        <v>44135</v>
      </c>
      <c r="M34" s="1">
        <f>COUNTA(Лист2!E36:I36)</f>
        <v>3</v>
      </c>
    </row>
    <row r="35" spans="1:13" x14ac:dyDescent="0.25">
      <c r="A35" s="1">
        <f>SUM(Лист2!E37:I37)/M35</f>
        <v>15.333333333333334</v>
      </c>
      <c r="B35" s="1">
        <f t="shared" ref="B35:B68" si="6">ROUND(SQRT(C35/M35),2)</f>
        <v>0.47</v>
      </c>
      <c r="C35" s="1">
        <f t="shared" ref="C35:C68" si="7">ROUND(SUM(D35:H35),2)</f>
        <v>0.66</v>
      </c>
      <c r="D35" s="1">
        <f>ROUND(IF(Лист2!E37&lt;=0, "нет данных", (Лист2!E37-Лист3!A35)^2),2)</f>
        <v>0.44</v>
      </c>
      <c r="E35" s="1">
        <f>IF(Лист2!F37 &lt;= 0, "нет данных", (Лист2!F37-Лист3!A35)^2)</f>
        <v>0.11111111111111151</v>
      </c>
      <c r="F35" s="1">
        <f>IF(Лист2!G37&lt;=0, "нет данных", (Лист2!G37-Лист3!A35)^2)</f>
        <v>0.11111111111111151</v>
      </c>
      <c r="G35" s="1" t="str">
        <f>IF(Лист2!H37&lt;=0, "нет данных", (Лист2!H37-Лист3!A35)^2)</f>
        <v>нет данных</v>
      </c>
      <c r="I35" s="1">
        <f t="shared" ref="I35:I68" si="8">ROUND(B35/A35,2)</f>
        <v>0.03</v>
      </c>
      <c r="J35" s="1">
        <f t="shared" ref="J35:J68" si="9">IF(I35&gt;=0.32, "не принимать", IF(I35&lt;=0.05, A35, IF(I35&gt;0.05, K35)))</f>
        <v>15.333333333333334</v>
      </c>
      <c r="K35" s="1">
        <f>MIN(Лист2!E37:G37)</f>
        <v>15</v>
      </c>
      <c r="L35" s="1">
        <f>ROUND(J35*Лист2!C37,2)</f>
        <v>20424</v>
      </c>
      <c r="M35" s="1">
        <f>COUNTA(Лист2!E37:I37)</f>
        <v>3</v>
      </c>
    </row>
    <row r="36" spans="1:13" x14ac:dyDescent="0.25">
      <c r="A36" s="1">
        <f>SUM(Лист2!E38:I38)/M36</f>
        <v>323</v>
      </c>
      <c r="B36" s="1">
        <f t="shared" si="6"/>
        <v>1.63</v>
      </c>
      <c r="C36" s="1">
        <f t="shared" si="7"/>
        <v>8</v>
      </c>
      <c r="D36" s="1">
        <f>ROUND(IF(Лист2!E38&lt;=0, "нет данных", (Лист2!E38-Лист3!A36)^2),2)</f>
        <v>4</v>
      </c>
      <c r="E36" s="1">
        <f>IF(Лист2!F38 &lt;= 0, "нет данных", (Лист2!F38-Лист3!A36)^2)</f>
        <v>0</v>
      </c>
      <c r="F36" s="1">
        <f>IF(Лист2!G38&lt;=0, "нет данных", (Лист2!G38-Лист3!A36)^2)</f>
        <v>4</v>
      </c>
      <c r="G36" s="1" t="str">
        <f>IF(Лист2!H38&lt;=0, "нет данных", (Лист2!H38-Лист3!A36)^2)</f>
        <v>нет данных</v>
      </c>
      <c r="I36" s="1">
        <f t="shared" si="8"/>
        <v>0.01</v>
      </c>
      <c r="J36" s="1">
        <f t="shared" si="9"/>
        <v>323</v>
      </c>
      <c r="K36" s="1">
        <f>MIN(Лист2!E38:G38)</f>
        <v>321</v>
      </c>
      <c r="L36" s="1">
        <f>ROUND(J36*Лист2!C38,2)</f>
        <v>387600</v>
      </c>
      <c r="M36" s="1">
        <f>COUNTA(Лист2!E38:I38)</f>
        <v>3</v>
      </c>
    </row>
    <row r="37" spans="1:13" x14ac:dyDescent="0.25">
      <c r="A37" s="1">
        <f>SUM(Лист2!E39:I39)/M37</f>
        <v>299.16666666666669</v>
      </c>
      <c r="B37" s="1">
        <f t="shared" si="6"/>
        <v>1.18</v>
      </c>
      <c r="C37" s="1">
        <f t="shared" si="7"/>
        <v>4.17</v>
      </c>
      <c r="D37" s="1">
        <f>ROUND(IF(Лист2!E39&lt;=0, "нет данных", (Лист2!E39-Лист3!A37)^2),2)</f>
        <v>2.78</v>
      </c>
      <c r="E37" s="1">
        <f>IF(Лист2!F39 &lt;= 0, "нет данных", (Лист2!F39-Лист3!A37)^2)</f>
        <v>0.69444444444441289</v>
      </c>
      <c r="F37" s="1">
        <f>IF(Лист2!G39&lt;=0, "нет данных", (Лист2!G39-Лист3!A37)^2)</f>
        <v>0.69444444444441289</v>
      </c>
      <c r="G37" s="1" t="str">
        <f>IF(Лист2!H39&lt;=0, "нет данных", (Лист2!H39-Лист3!A37)^2)</f>
        <v>нет данных</v>
      </c>
      <c r="I37" s="1">
        <f t="shared" si="8"/>
        <v>0</v>
      </c>
      <c r="J37" s="1">
        <f t="shared" si="9"/>
        <v>299.16666666666669</v>
      </c>
      <c r="K37" s="1">
        <f>MIN(Лист2!E39:G39)</f>
        <v>297.5</v>
      </c>
      <c r="L37" s="1">
        <f>ROUND(J37*Лист2!C39,2)</f>
        <v>359000</v>
      </c>
      <c r="M37" s="1">
        <f>COUNTA(Лист2!E39:I39)</f>
        <v>3</v>
      </c>
    </row>
    <row r="38" spans="1:13" x14ac:dyDescent="0.25">
      <c r="A38" s="1">
        <f>SUM(Лист2!E40:I40)/M38</f>
        <v>203.66666666666666</v>
      </c>
      <c r="B38" s="1">
        <f t="shared" si="6"/>
        <v>4.5</v>
      </c>
      <c r="C38" s="1">
        <f t="shared" si="7"/>
        <v>60.66</v>
      </c>
      <c r="D38" s="1">
        <f>ROUND(IF(Лист2!E40&lt;=0, "нет данных", (Лист2!E40-Лист3!A38)^2),2)</f>
        <v>13.44</v>
      </c>
      <c r="E38" s="1">
        <f>IF(Лист2!F40 &lt;= 0, "нет данных", (Лист2!F40-Лист3!A38)^2)</f>
        <v>7.111111111111061</v>
      </c>
      <c r="F38" s="1">
        <f>IF(Лист2!G40&lt;=0, "нет данных", (Лист2!G40-Лист3!A38)^2)</f>
        <v>40.111111111111228</v>
      </c>
      <c r="G38" s="1" t="str">
        <f>IF(Лист2!H40&lt;=0, "нет данных", (Лист2!H40-Лист3!A38)^2)</f>
        <v>нет данных</v>
      </c>
      <c r="I38" s="1">
        <f t="shared" si="8"/>
        <v>0.02</v>
      </c>
      <c r="J38" s="1">
        <f t="shared" si="9"/>
        <v>203.66666666666666</v>
      </c>
      <c r="K38" s="1">
        <f>MIN(Лист2!E40:G40)</f>
        <v>200</v>
      </c>
      <c r="L38" s="1">
        <f>ROUND(J38*Лист2!C40,2)</f>
        <v>40733.33</v>
      </c>
      <c r="M38" s="1">
        <f>COUNTA(Лист2!E40:I40)</f>
        <v>3</v>
      </c>
    </row>
    <row r="39" spans="1:13" x14ac:dyDescent="0.25">
      <c r="A39" s="1">
        <f>SUM(Лист2!E41:I41)/M39</f>
        <v>309</v>
      </c>
      <c r="B39" s="1">
        <f t="shared" si="6"/>
        <v>6.48</v>
      </c>
      <c r="C39" s="1">
        <f t="shared" si="7"/>
        <v>126</v>
      </c>
      <c r="D39" s="1">
        <f>ROUND(IF(Лист2!E41&lt;=0, "нет данных", (Лист2!E41-Лист3!A39)^2),2)</f>
        <v>81</v>
      </c>
      <c r="E39" s="1">
        <f>IF(Лист2!F41 &lt;= 0, "нет данных", (Лист2!F41-Лист3!A39)^2)</f>
        <v>9</v>
      </c>
      <c r="F39" s="1">
        <f>IF(Лист2!G41&lt;=0, "нет данных", (Лист2!G41-Лист3!A39)^2)</f>
        <v>36</v>
      </c>
      <c r="G39" s="1" t="str">
        <f>IF(Лист2!H41&lt;=0, "нет данных", (Лист2!H41-Лист3!A39)^2)</f>
        <v>нет данных</v>
      </c>
      <c r="I39" s="1">
        <f t="shared" si="8"/>
        <v>0.02</v>
      </c>
      <c r="J39" s="1">
        <f t="shared" si="9"/>
        <v>309</v>
      </c>
      <c r="K39" s="1">
        <f>MIN(Лист2!E41:G41)</f>
        <v>300</v>
      </c>
      <c r="L39" s="1">
        <f>ROUND(J39*Лист2!C41,2)</f>
        <v>15450</v>
      </c>
      <c r="M39" s="1">
        <f>COUNTA(Лист2!E41:I41)</f>
        <v>3</v>
      </c>
    </row>
    <row r="40" spans="1:13" x14ac:dyDescent="0.25">
      <c r="A40" s="1">
        <f>SUM(Лист2!E42:I42)/M40</f>
        <v>569</v>
      </c>
      <c r="B40" s="1">
        <f t="shared" si="6"/>
        <v>6.48</v>
      </c>
      <c r="C40" s="1">
        <f t="shared" si="7"/>
        <v>126</v>
      </c>
      <c r="D40" s="1">
        <f>ROUND(IF(Лист2!E42&lt;=0, "нет данных", (Лист2!E42-Лист3!A40)^2),2)</f>
        <v>81</v>
      </c>
      <c r="E40" s="1">
        <f>IF(Лист2!F42 &lt;= 0, "нет данных", (Лист2!F42-Лист3!A40)^2)</f>
        <v>9</v>
      </c>
      <c r="F40" s="1">
        <f>IF(Лист2!G42&lt;=0, "нет данных", (Лист2!G42-Лист3!A40)^2)</f>
        <v>36</v>
      </c>
      <c r="G40" s="1" t="str">
        <f>IF(Лист2!H42&lt;=0, "нет данных", (Лист2!H42-Лист3!A40)^2)</f>
        <v>нет данных</v>
      </c>
      <c r="I40" s="1">
        <f t="shared" si="8"/>
        <v>0.01</v>
      </c>
      <c r="J40" s="1">
        <f t="shared" si="9"/>
        <v>569</v>
      </c>
      <c r="K40" s="1">
        <f>MIN(Лист2!E42:G42)</f>
        <v>560</v>
      </c>
      <c r="L40" s="1">
        <f>ROUND(J40*Лист2!C42,2)</f>
        <v>284500</v>
      </c>
      <c r="M40" s="1">
        <f>COUNTA(Лист2!E42:I42)</f>
        <v>3</v>
      </c>
    </row>
    <row r="41" spans="1:13" x14ac:dyDescent="0.25">
      <c r="A41" s="1">
        <f>SUM(Лист2!E43:I43)/M41</f>
        <v>844.66666666666663</v>
      </c>
      <c r="B41" s="1">
        <f t="shared" si="6"/>
        <v>4.1100000000000003</v>
      </c>
      <c r="C41" s="1">
        <f t="shared" si="7"/>
        <v>50.66</v>
      </c>
      <c r="D41" s="1">
        <f>ROUND(IF(Лист2!E43&lt;=0, "нет данных", (Лист2!E43-Лист3!A41)^2),2)</f>
        <v>0.44</v>
      </c>
      <c r="E41" s="1">
        <f>IF(Лист2!F43 &lt;= 0, "нет данных", (Лист2!F43-Лист3!A41)^2)</f>
        <v>21.777777777777423</v>
      </c>
      <c r="F41" s="1">
        <f>IF(Лист2!G43&lt;=0, "нет данных", (Лист2!G43-Лист3!A41)^2)</f>
        <v>28.444444444444848</v>
      </c>
      <c r="G41" s="1" t="str">
        <f>IF(Лист2!H43&lt;=0, "нет данных", (Лист2!H43-Лист3!A41)^2)</f>
        <v>нет данных</v>
      </c>
      <c r="I41" s="1">
        <f t="shared" si="8"/>
        <v>0</v>
      </c>
      <c r="J41" s="1">
        <f t="shared" si="9"/>
        <v>844.66666666666663</v>
      </c>
      <c r="K41" s="1">
        <f>MIN(Лист2!E43:G43)</f>
        <v>840</v>
      </c>
      <c r="L41" s="1">
        <f>ROUND(J41*Лист2!C43,2)</f>
        <v>211166.67</v>
      </c>
      <c r="M41" s="1">
        <f>COUNTA(Лист2!E43:I43)</f>
        <v>3</v>
      </c>
    </row>
    <row r="42" spans="1:13" x14ac:dyDescent="0.25">
      <c r="A42" s="1">
        <f>SUM(Лист2!E44:I44)/M42</f>
        <v>737.33333333333337</v>
      </c>
      <c r="B42" s="1">
        <f t="shared" si="6"/>
        <v>11.59</v>
      </c>
      <c r="C42" s="1">
        <f t="shared" si="7"/>
        <v>402.67</v>
      </c>
      <c r="D42" s="1">
        <f>ROUND(IF(Лист2!E44&lt;=0, "нет данных", (Лист2!E44-Лист3!A42)^2),2)</f>
        <v>235.11</v>
      </c>
      <c r="E42" s="1">
        <f>IF(Лист2!F44 &lt;= 0, "нет данных", (Лист2!F44-Лист3!A42)^2)</f>
        <v>7.1111111111109091</v>
      </c>
      <c r="F42" s="1">
        <f>IF(Лист2!G44&lt;=0, "нет данных", (Лист2!G44-Лист3!A42)^2)</f>
        <v>160.44444444444349</v>
      </c>
      <c r="G42" s="1" t="str">
        <f>IF(Лист2!H44&lt;=0, "нет данных", (Лист2!H44-Лист3!A42)^2)</f>
        <v>нет данных</v>
      </c>
      <c r="I42" s="1">
        <f t="shared" si="8"/>
        <v>0.02</v>
      </c>
      <c r="J42" s="1">
        <f t="shared" si="9"/>
        <v>737.33333333333337</v>
      </c>
      <c r="K42" s="1">
        <f>MIN(Лист2!E44:G44)</f>
        <v>722</v>
      </c>
      <c r="L42" s="1">
        <f>ROUND(J42*Лист2!C44,2)</f>
        <v>26544</v>
      </c>
      <c r="M42" s="1">
        <f>COUNTA(Лист2!E44:I44)</f>
        <v>3</v>
      </c>
    </row>
    <row r="43" spans="1:13" x14ac:dyDescent="0.25">
      <c r="A43" s="1" t="e">
        <f>SUM(Лист2!#REF!)/M43</f>
        <v>#REF!</v>
      </c>
      <c r="B43" s="1" t="e">
        <f t="shared" si="6"/>
        <v>#REF!</v>
      </c>
      <c r="C43" s="1" t="e">
        <f t="shared" si="7"/>
        <v>#REF!</v>
      </c>
      <c r="D43" s="1" t="e">
        <f>ROUND(IF(Лист2!#REF!&lt;=0, "нет данных", (Лист2!#REF!-Лист3!A43)^2),2)</f>
        <v>#REF!</v>
      </c>
      <c r="E43" s="1" t="e">
        <f>IF(Лист2!#REF! &lt;= 0, "нет данных", (Лист2!#REF!-Лист3!A43)^2)</f>
        <v>#REF!</v>
      </c>
      <c r="F43" s="1" t="e">
        <f>IF(Лист2!#REF!&lt;=0, "нет данных", (Лист2!#REF!-Лист3!A43)^2)</f>
        <v>#REF!</v>
      </c>
      <c r="G43" s="1" t="e">
        <f>IF(Лист2!#REF!&lt;=0, "нет данных", (Лист2!#REF!-Лист3!A43)^2)</f>
        <v>#REF!</v>
      </c>
      <c r="I43" s="1" t="e">
        <f t="shared" si="8"/>
        <v>#REF!</v>
      </c>
      <c r="J43" s="1" t="e">
        <f t="shared" si="9"/>
        <v>#REF!</v>
      </c>
      <c r="K43" s="1" t="e">
        <f>MIN(Лист2!#REF!)</f>
        <v>#REF!</v>
      </c>
      <c r="L43" s="1" t="e">
        <f>ROUND(J43*Лист2!#REF!,2)</f>
        <v>#REF!</v>
      </c>
      <c r="M43" s="1">
        <f>COUNTA(Лист2!#REF!)</f>
        <v>1</v>
      </c>
    </row>
    <row r="44" spans="1:13" x14ac:dyDescent="0.25">
      <c r="A44" s="1" t="e">
        <f>SUM(Лист2!#REF!)/M44</f>
        <v>#REF!</v>
      </c>
      <c r="B44" s="1" t="e">
        <f t="shared" si="6"/>
        <v>#REF!</v>
      </c>
      <c r="C44" s="1" t="e">
        <f t="shared" si="7"/>
        <v>#REF!</v>
      </c>
      <c r="D44" s="1" t="e">
        <f>ROUND(IF(Лист2!#REF!&lt;=0, "нет данных", (Лист2!#REF!-Лист3!A44)^2),2)</f>
        <v>#REF!</v>
      </c>
      <c r="E44" s="1" t="e">
        <f>IF(Лист2!#REF! &lt;= 0, "нет данных", (Лист2!#REF!-Лист3!A44)^2)</f>
        <v>#REF!</v>
      </c>
      <c r="F44" s="1" t="e">
        <f>IF(Лист2!#REF!&lt;=0, "нет данных", (Лист2!#REF!-Лист3!A44)^2)</f>
        <v>#REF!</v>
      </c>
      <c r="G44" s="1" t="e">
        <f>IF(Лист2!#REF!&lt;=0, "нет данных", (Лист2!#REF!-Лист3!A44)^2)</f>
        <v>#REF!</v>
      </c>
      <c r="I44" s="1" t="e">
        <f t="shared" si="8"/>
        <v>#REF!</v>
      </c>
      <c r="J44" s="1" t="e">
        <f t="shared" si="9"/>
        <v>#REF!</v>
      </c>
      <c r="K44" s="1" t="e">
        <f>MIN(Лист2!#REF!)</f>
        <v>#REF!</v>
      </c>
      <c r="L44" s="1" t="e">
        <f>ROUND(J44*Лист2!#REF!,2)</f>
        <v>#REF!</v>
      </c>
      <c r="M44" s="1">
        <f>COUNTA(Лист2!#REF!)</f>
        <v>1</v>
      </c>
    </row>
    <row r="45" spans="1:13" x14ac:dyDescent="0.25">
      <c r="A45" s="1" t="e">
        <f>SUM(Лист2!#REF!)/M45</f>
        <v>#REF!</v>
      </c>
      <c r="B45" s="1" t="e">
        <f t="shared" si="6"/>
        <v>#REF!</v>
      </c>
      <c r="C45" s="1" t="e">
        <f t="shared" si="7"/>
        <v>#REF!</v>
      </c>
      <c r="D45" s="1" t="e">
        <f>ROUND(IF(Лист2!#REF!&lt;=0, "нет данных", (Лист2!#REF!-Лист3!A45)^2),2)</f>
        <v>#REF!</v>
      </c>
      <c r="E45" s="1" t="e">
        <f>IF(Лист2!#REF! &lt;= 0, "нет данных", (Лист2!#REF!-Лист3!A45)^2)</f>
        <v>#REF!</v>
      </c>
      <c r="F45" s="1" t="e">
        <f>IF(Лист2!#REF!&lt;=0, "нет данных", (Лист2!#REF!-Лист3!A45)^2)</f>
        <v>#REF!</v>
      </c>
      <c r="G45" s="1" t="e">
        <f>IF(Лист2!#REF!&lt;=0, "нет данных", (Лист2!#REF!-Лист3!A45)^2)</f>
        <v>#REF!</v>
      </c>
      <c r="I45" s="1" t="e">
        <f t="shared" si="8"/>
        <v>#REF!</v>
      </c>
      <c r="J45" s="1" t="e">
        <f t="shared" si="9"/>
        <v>#REF!</v>
      </c>
      <c r="K45" s="1" t="e">
        <f>MIN(Лист2!#REF!)</f>
        <v>#REF!</v>
      </c>
      <c r="L45" s="1" t="e">
        <f>ROUND(J45*Лист2!#REF!,2)</f>
        <v>#REF!</v>
      </c>
      <c r="M45" s="1">
        <f>COUNTA(Лист2!#REF!)</f>
        <v>1</v>
      </c>
    </row>
    <row r="46" spans="1:13" x14ac:dyDescent="0.25">
      <c r="A46" s="1" t="e">
        <f>SUM(Лист2!#REF!)/M46</f>
        <v>#REF!</v>
      </c>
      <c r="B46" s="1" t="e">
        <f t="shared" si="6"/>
        <v>#REF!</v>
      </c>
      <c r="C46" s="1" t="e">
        <f t="shared" si="7"/>
        <v>#REF!</v>
      </c>
      <c r="D46" s="1" t="e">
        <f>ROUND(IF(Лист2!#REF!&lt;=0, "нет данных", (Лист2!#REF!-Лист3!A46)^2),2)</f>
        <v>#REF!</v>
      </c>
      <c r="E46" s="1" t="e">
        <f>IF(Лист2!#REF! &lt;= 0, "нет данных", (Лист2!#REF!-Лист3!A46)^2)</f>
        <v>#REF!</v>
      </c>
      <c r="F46" s="1" t="e">
        <f>IF(Лист2!#REF!&lt;=0, "нет данных", (Лист2!#REF!-Лист3!A46)^2)</f>
        <v>#REF!</v>
      </c>
      <c r="G46" s="1" t="e">
        <f>IF(Лист2!#REF!&lt;=0, "нет данных", (Лист2!#REF!-Лист3!A46)^2)</f>
        <v>#REF!</v>
      </c>
      <c r="I46" s="1" t="e">
        <f t="shared" si="8"/>
        <v>#REF!</v>
      </c>
      <c r="J46" s="1" t="e">
        <f t="shared" si="9"/>
        <v>#REF!</v>
      </c>
      <c r="K46" s="1" t="e">
        <f>MIN(Лист2!#REF!)</f>
        <v>#REF!</v>
      </c>
      <c r="L46" s="1" t="e">
        <f>ROUND(J46*Лист2!#REF!,2)</f>
        <v>#REF!</v>
      </c>
      <c r="M46" s="1">
        <f>COUNTA(Лист2!#REF!)</f>
        <v>1</v>
      </c>
    </row>
    <row r="47" spans="1:13" x14ac:dyDescent="0.25">
      <c r="A47" s="1" t="e">
        <f>SUM(Лист2!#REF!)/M47</f>
        <v>#REF!</v>
      </c>
      <c r="B47" s="1" t="e">
        <f t="shared" si="6"/>
        <v>#REF!</v>
      </c>
      <c r="C47" s="1" t="e">
        <f t="shared" si="7"/>
        <v>#REF!</v>
      </c>
      <c r="D47" s="1" t="e">
        <f>ROUND(IF(Лист2!#REF!&lt;=0, "нет данных", (Лист2!#REF!-Лист3!A47)^2),2)</f>
        <v>#REF!</v>
      </c>
      <c r="E47" s="1" t="e">
        <f>IF(Лист2!#REF! &lt;= 0, "нет данных", (Лист2!#REF!-Лист3!A47)^2)</f>
        <v>#REF!</v>
      </c>
      <c r="F47" s="1" t="e">
        <f>IF(Лист2!#REF!&lt;=0, "нет данных", (Лист2!#REF!-Лист3!A47)^2)</f>
        <v>#REF!</v>
      </c>
      <c r="G47" s="1" t="e">
        <f>IF(Лист2!#REF!&lt;=0, "нет данных", (Лист2!#REF!-Лист3!A47)^2)</f>
        <v>#REF!</v>
      </c>
      <c r="I47" s="1" t="e">
        <f t="shared" si="8"/>
        <v>#REF!</v>
      </c>
      <c r="J47" s="1" t="e">
        <f t="shared" si="9"/>
        <v>#REF!</v>
      </c>
      <c r="K47" s="1" t="e">
        <f>MIN(Лист2!#REF!)</f>
        <v>#REF!</v>
      </c>
      <c r="L47" s="1" t="e">
        <f>ROUND(J47*Лист2!#REF!,2)</f>
        <v>#REF!</v>
      </c>
      <c r="M47" s="1">
        <f>COUNTA(Лист2!#REF!)</f>
        <v>1</v>
      </c>
    </row>
    <row r="48" spans="1:13" x14ac:dyDescent="0.25">
      <c r="A48" s="1" t="e">
        <f>SUM(Лист2!#REF!)/M48</f>
        <v>#REF!</v>
      </c>
      <c r="B48" s="1" t="e">
        <f t="shared" si="6"/>
        <v>#REF!</v>
      </c>
      <c r="C48" s="1" t="e">
        <f t="shared" si="7"/>
        <v>#REF!</v>
      </c>
      <c r="D48" s="1" t="e">
        <f>ROUND(IF(Лист2!#REF!&lt;=0, "нет данных", (Лист2!#REF!-Лист3!A48)^2),2)</f>
        <v>#REF!</v>
      </c>
      <c r="E48" s="1" t="e">
        <f>IF(Лист2!#REF! &lt;= 0, "нет данных", (Лист2!#REF!-Лист3!A48)^2)</f>
        <v>#REF!</v>
      </c>
      <c r="F48" s="1" t="e">
        <f>IF(Лист2!#REF!&lt;=0, "нет данных", (Лист2!#REF!-Лист3!A48)^2)</f>
        <v>#REF!</v>
      </c>
      <c r="G48" s="1" t="e">
        <f>IF(Лист2!#REF!&lt;=0, "нет данных", (Лист2!#REF!-Лист3!A48)^2)</f>
        <v>#REF!</v>
      </c>
      <c r="I48" s="1" t="e">
        <f t="shared" si="8"/>
        <v>#REF!</v>
      </c>
      <c r="J48" s="1" t="e">
        <f t="shared" si="9"/>
        <v>#REF!</v>
      </c>
      <c r="K48" s="1" t="e">
        <f>MIN(Лист2!#REF!)</f>
        <v>#REF!</v>
      </c>
      <c r="L48" s="1" t="e">
        <f>ROUND(J48*Лист2!#REF!,2)</f>
        <v>#REF!</v>
      </c>
      <c r="M48" s="1">
        <f>COUNTA(Лист2!#REF!)</f>
        <v>1</v>
      </c>
    </row>
    <row r="49" spans="1:13" x14ac:dyDescent="0.25">
      <c r="A49" s="1" t="e">
        <f>SUM(Лист2!#REF!)/M49</f>
        <v>#REF!</v>
      </c>
      <c r="B49" s="1" t="e">
        <f t="shared" si="6"/>
        <v>#REF!</v>
      </c>
      <c r="C49" s="1" t="e">
        <f t="shared" si="7"/>
        <v>#REF!</v>
      </c>
      <c r="D49" s="1" t="e">
        <f>ROUND(IF(Лист2!#REF!&lt;=0, "нет данных", (Лист2!#REF!-Лист3!A49)^2),2)</f>
        <v>#REF!</v>
      </c>
      <c r="E49" s="1" t="e">
        <f>IF(Лист2!#REF! &lt;= 0, "нет данных", (Лист2!#REF!-Лист3!A49)^2)</f>
        <v>#REF!</v>
      </c>
      <c r="F49" s="1" t="e">
        <f>IF(Лист2!#REF!&lt;=0, "нет данных", (Лист2!#REF!-Лист3!A49)^2)</f>
        <v>#REF!</v>
      </c>
      <c r="G49" s="1" t="e">
        <f>IF(Лист2!#REF!&lt;=0, "нет данных", (Лист2!#REF!-Лист3!A49)^2)</f>
        <v>#REF!</v>
      </c>
      <c r="I49" s="1" t="e">
        <f t="shared" si="8"/>
        <v>#REF!</v>
      </c>
      <c r="J49" s="1" t="e">
        <f t="shared" si="9"/>
        <v>#REF!</v>
      </c>
      <c r="K49" s="1" t="e">
        <f>MIN(Лист2!#REF!)</f>
        <v>#REF!</v>
      </c>
      <c r="L49" s="1" t="e">
        <f>ROUND(J49*Лист2!#REF!,2)</f>
        <v>#REF!</v>
      </c>
      <c r="M49" s="1">
        <f>COUNTA(Лист2!#REF!)</f>
        <v>1</v>
      </c>
    </row>
    <row r="50" spans="1:13" x14ac:dyDescent="0.25">
      <c r="A50" s="1" t="e">
        <f>SUM(Лист2!#REF!)/M50</f>
        <v>#REF!</v>
      </c>
      <c r="B50" s="1" t="e">
        <f t="shared" si="6"/>
        <v>#REF!</v>
      </c>
      <c r="C50" s="1" t="e">
        <f t="shared" si="7"/>
        <v>#REF!</v>
      </c>
      <c r="D50" s="1" t="e">
        <f>ROUND(IF(Лист2!#REF!&lt;=0, "нет данных", (Лист2!#REF!-Лист3!A50)^2),2)</f>
        <v>#REF!</v>
      </c>
      <c r="E50" s="1" t="e">
        <f>IF(Лист2!#REF! &lt;= 0, "нет данных", (Лист2!#REF!-Лист3!A50)^2)</f>
        <v>#REF!</v>
      </c>
      <c r="F50" s="1" t="e">
        <f>IF(Лист2!#REF!&lt;=0, "нет данных", (Лист2!#REF!-Лист3!A50)^2)</f>
        <v>#REF!</v>
      </c>
      <c r="G50" s="1" t="e">
        <f>IF(Лист2!#REF!&lt;=0, "нет данных", (Лист2!#REF!-Лист3!A50)^2)</f>
        <v>#REF!</v>
      </c>
      <c r="I50" s="1" t="e">
        <f t="shared" si="8"/>
        <v>#REF!</v>
      </c>
      <c r="J50" s="1" t="e">
        <f t="shared" si="9"/>
        <v>#REF!</v>
      </c>
      <c r="K50" s="1" t="e">
        <f>MIN(Лист2!#REF!)</f>
        <v>#REF!</v>
      </c>
      <c r="L50" s="1" t="e">
        <f>ROUND(J50*Лист2!#REF!,2)</f>
        <v>#REF!</v>
      </c>
      <c r="M50" s="1">
        <f>COUNTA(Лист2!#REF!)</f>
        <v>1</v>
      </c>
    </row>
    <row r="51" spans="1:13" x14ac:dyDescent="0.25">
      <c r="A51" s="1" t="e">
        <f>SUM(Лист2!#REF!)/M51</f>
        <v>#REF!</v>
      </c>
      <c r="B51" s="1" t="e">
        <f t="shared" si="6"/>
        <v>#REF!</v>
      </c>
      <c r="C51" s="1" t="e">
        <f t="shared" si="7"/>
        <v>#REF!</v>
      </c>
      <c r="D51" s="1" t="e">
        <f>ROUND(IF(Лист2!#REF!&lt;=0, "нет данных", (Лист2!#REF!-Лист3!A51)^2),2)</f>
        <v>#REF!</v>
      </c>
      <c r="E51" s="1" t="e">
        <f>IF(Лист2!#REF! &lt;= 0, "нет данных", (Лист2!#REF!-Лист3!A51)^2)</f>
        <v>#REF!</v>
      </c>
      <c r="F51" s="1" t="e">
        <f>IF(Лист2!#REF!&lt;=0, "нет данных", (Лист2!#REF!-Лист3!A51)^2)</f>
        <v>#REF!</v>
      </c>
      <c r="G51" s="1" t="e">
        <f>IF(Лист2!#REF!&lt;=0, "нет данных", (Лист2!#REF!-Лист3!A51)^2)</f>
        <v>#REF!</v>
      </c>
      <c r="I51" s="1" t="e">
        <f t="shared" si="8"/>
        <v>#REF!</v>
      </c>
      <c r="J51" s="1" t="e">
        <f t="shared" si="9"/>
        <v>#REF!</v>
      </c>
      <c r="K51" s="1" t="e">
        <f>MIN(Лист2!#REF!)</f>
        <v>#REF!</v>
      </c>
      <c r="L51" s="1" t="e">
        <f>ROUND(J51*Лист2!#REF!,2)</f>
        <v>#REF!</v>
      </c>
      <c r="M51" s="1">
        <f>COUNTA(Лист2!#REF!)</f>
        <v>1</v>
      </c>
    </row>
    <row r="52" spans="1:13" x14ac:dyDescent="0.25">
      <c r="A52" s="1" t="e">
        <f>SUM(Лист2!#REF!)/M52</f>
        <v>#REF!</v>
      </c>
      <c r="B52" s="1" t="e">
        <f t="shared" si="6"/>
        <v>#REF!</v>
      </c>
      <c r="C52" s="1" t="e">
        <f t="shared" si="7"/>
        <v>#REF!</v>
      </c>
      <c r="D52" s="1" t="e">
        <f>ROUND(IF(Лист2!#REF!&lt;=0, "нет данных", (Лист2!#REF!-Лист3!A52)^2),2)</f>
        <v>#REF!</v>
      </c>
      <c r="E52" s="1" t="e">
        <f>IF(Лист2!#REF! &lt;= 0, "нет данных", (Лист2!#REF!-Лист3!A52)^2)</f>
        <v>#REF!</v>
      </c>
      <c r="F52" s="1" t="e">
        <f>IF(Лист2!#REF!&lt;=0, "нет данных", (Лист2!#REF!-Лист3!A52)^2)</f>
        <v>#REF!</v>
      </c>
      <c r="G52" s="1" t="e">
        <f>IF(Лист2!#REF!&lt;=0, "нет данных", (Лист2!#REF!-Лист3!A52)^2)</f>
        <v>#REF!</v>
      </c>
      <c r="I52" s="1" t="e">
        <f t="shared" si="8"/>
        <v>#REF!</v>
      </c>
      <c r="J52" s="1" t="e">
        <f t="shared" si="9"/>
        <v>#REF!</v>
      </c>
      <c r="K52" s="1" t="e">
        <f>MIN(Лист2!#REF!)</f>
        <v>#REF!</v>
      </c>
      <c r="L52" s="1" t="e">
        <f>ROUND(J52*Лист2!#REF!,2)</f>
        <v>#REF!</v>
      </c>
      <c r="M52" s="1">
        <f>COUNTA(Лист2!#REF!)</f>
        <v>1</v>
      </c>
    </row>
    <row r="53" spans="1:13" x14ac:dyDescent="0.25">
      <c r="A53" s="1" t="e">
        <f>SUM(Лист2!#REF!)/M53</f>
        <v>#REF!</v>
      </c>
      <c r="B53" s="1" t="e">
        <f t="shared" si="6"/>
        <v>#REF!</v>
      </c>
      <c r="C53" s="1" t="e">
        <f t="shared" si="7"/>
        <v>#REF!</v>
      </c>
      <c r="D53" s="1" t="e">
        <f>ROUND(IF(Лист2!#REF!&lt;=0, "нет данных", (Лист2!#REF!-Лист3!A53)^2),2)</f>
        <v>#REF!</v>
      </c>
      <c r="E53" s="1" t="e">
        <f>IF(Лист2!#REF! &lt;= 0, "нет данных", (Лист2!#REF!-Лист3!A53)^2)</f>
        <v>#REF!</v>
      </c>
      <c r="F53" s="1" t="e">
        <f>IF(Лист2!#REF!&lt;=0, "нет данных", (Лист2!#REF!-Лист3!A53)^2)</f>
        <v>#REF!</v>
      </c>
      <c r="G53" s="1" t="e">
        <f>IF(Лист2!#REF!&lt;=0, "нет данных", (Лист2!#REF!-Лист3!A53)^2)</f>
        <v>#REF!</v>
      </c>
      <c r="I53" s="1" t="e">
        <f t="shared" si="8"/>
        <v>#REF!</v>
      </c>
      <c r="J53" s="1" t="e">
        <f t="shared" si="9"/>
        <v>#REF!</v>
      </c>
      <c r="K53" s="1" t="e">
        <f>MIN(Лист2!#REF!)</f>
        <v>#REF!</v>
      </c>
      <c r="L53" s="1" t="e">
        <f>ROUND(J53*Лист2!#REF!,2)</f>
        <v>#REF!</v>
      </c>
      <c r="M53" s="1">
        <f>COUNTA(Лист2!#REF!)</f>
        <v>1</v>
      </c>
    </row>
    <row r="54" spans="1:13" x14ac:dyDescent="0.25">
      <c r="A54" s="1" t="e">
        <f>SUM(Лист2!#REF!)/M54</f>
        <v>#REF!</v>
      </c>
      <c r="B54" s="1" t="e">
        <f t="shared" si="6"/>
        <v>#REF!</v>
      </c>
      <c r="C54" s="1" t="e">
        <f t="shared" si="7"/>
        <v>#REF!</v>
      </c>
      <c r="D54" s="1" t="e">
        <f>ROUND(IF(Лист2!#REF!&lt;=0, "нет данных", (Лист2!#REF!-Лист3!A54)^2),2)</f>
        <v>#REF!</v>
      </c>
      <c r="E54" s="1" t="e">
        <f>IF(Лист2!#REF! &lt;= 0, "нет данных", (Лист2!#REF!-Лист3!A54)^2)</f>
        <v>#REF!</v>
      </c>
      <c r="F54" s="1" t="e">
        <f>IF(Лист2!#REF!&lt;=0, "нет данных", (Лист2!#REF!-Лист3!A54)^2)</f>
        <v>#REF!</v>
      </c>
      <c r="G54" s="1" t="e">
        <f>IF(Лист2!#REF!&lt;=0, "нет данных", (Лист2!#REF!-Лист3!A54)^2)</f>
        <v>#REF!</v>
      </c>
      <c r="I54" s="1" t="e">
        <f t="shared" si="8"/>
        <v>#REF!</v>
      </c>
      <c r="J54" s="1" t="e">
        <f t="shared" si="9"/>
        <v>#REF!</v>
      </c>
      <c r="K54" s="1" t="e">
        <f>MIN(Лист2!#REF!)</f>
        <v>#REF!</v>
      </c>
      <c r="L54" s="1" t="e">
        <f>ROUND(J54*Лист2!#REF!,2)</f>
        <v>#REF!</v>
      </c>
      <c r="M54" s="1">
        <f>COUNTA(Лист2!#REF!)</f>
        <v>1</v>
      </c>
    </row>
    <row r="55" spans="1:13" x14ac:dyDescent="0.25">
      <c r="A55" s="1" t="e">
        <f>SUM(Лист2!#REF!)/M55</f>
        <v>#REF!</v>
      </c>
      <c r="B55" s="1" t="e">
        <f t="shared" si="6"/>
        <v>#REF!</v>
      </c>
      <c r="C55" s="1" t="e">
        <f t="shared" si="7"/>
        <v>#REF!</v>
      </c>
      <c r="D55" s="1" t="e">
        <f>ROUND(IF(Лист2!#REF!&lt;=0, "нет данных", (Лист2!#REF!-Лист3!A55)^2),2)</f>
        <v>#REF!</v>
      </c>
      <c r="E55" s="1" t="e">
        <f>IF(Лист2!#REF! &lt;= 0, "нет данных", (Лист2!#REF!-Лист3!A55)^2)</f>
        <v>#REF!</v>
      </c>
      <c r="F55" s="1" t="e">
        <f>IF(Лист2!#REF!&lt;=0, "нет данных", (Лист2!#REF!-Лист3!A55)^2)</f>
        <v>#REF!</v>
      </c>
      <c r="G55" s="1" t="e">
        <f>IF(Лист2!#REF!&lt;=0, "нет данных", (Лист2!#REF!-Лист3!A55)^2)</f>
        <v>#REF!</v>
      </c>
      <c r="I55" s="1" t="e">
        <f t="shared" si="8"/>
        <v>#REF!</v>
      </c>
      <c r="J55" s="1" t="e">
        <f t="shared" si="9"/>
        <v>#REF!</v>
      </c>
      <c r="K55" s="1" t="e">
        <f>MIN(Лист2!#REF!)</f>
        <v>#REF!</v>
      </c>
      <c r="L55" s="1" t="e">
        <f>ROUND(J55*Лист2!#REF!,2)</f>
        <v>#REF!</v>
      </c>
      <c r="M55" s="1">
        <f>COUNTA(Лист2!#REF!)</f>
        <v>1</v>
      </c>
    </row>
    <row r="56" spans="1:13" x14ac:dyDescent="0.25">
      <c r="A56" s="1" t="e">
        <f>SUM(Лист2!#REF!)/M56</f>
        <v>#REF!</v>
      </c>
      <c r="B56" s="1" t="e">
        <f t="shared" si="6"/>
        <v>#REF!</v>
      </c>
      <c r="C56" s="1" t="e">
        <f t="shared" si="7"/>
        <v>#REF!</v>
      </c>
      <c r="D56" s="1" t="e">
        <f>ROUND(IF(Лист2!#REF!&lt;=0, "нет данных", (Лист2!#REF!-Лист3!A56)^2),2)</f>
        <v>#REF!</v>
      </c>
      <c r="E56" s="1" t="e">
        <f>IF(Лист2!#REF! &lt;= 0, "нет данных", (Лист2!#REF!-Лист3!A56)^2)</f>
        <v>#REF!</v>
      </c>
      <c r="F56" s="1" t="e">
        <f>IF(Лист2!#REF!&lt;=0, "нет данных", (Лист2!#REF!-Лист3!A56)^2)</f>
        <v>#REF!</v>
      </c>
      <c r="G56" s="1" t="e">
        <f>IF(Лист2!#REF!&lt;=0, "нет данных", (Лист2!#REF!-Лист3!A56)^2)</f>
        <v>#REF!</v>
      </c>
      <c r="I56" s="1" t="e">
        <f t="shared" si="8"/>
        <v>#REF!</v>
      </c>
      <c r="J56" s="1" t="e">
        <f t="shared" si="9"/>
        <v>#REF!</v>
      </c>
      <c r="K56" s="1" t="e">
        <f>MIN(Лист2!#REF!)</f>
        <v>#REF!</v>
      </c>
      <c r="L56" s="1" t="e">
        <f>ROUND(J56*Лист2!#REF!,2)</f>
        <v>#REF!</v>
      </c>
      <c r="M56" s="1">
        <f>COUNTA(Лист2!#REF!)</f>
        <v>1</v>
      </c>
    </row>
    <row r="57" spans="1:13" x14ac:dyDescent="0.25">
      <c r="A57" s="1" t="e">
        <f>SUM(Лист2!#REF!)/M57</f>
        <v>#REF!</v>
      </c>
      <c r="B57" s="1" t="e">
        <f t="shared" si="6"/>
        <v>#REF!</v>
      </c>
      <c r="C57" s="1" t="e">
        <f t="shared" si="7"/>
        <v>#REF!</v>
      </c>
      <c r="D57" s="1" t="e">
        <f>ROUND(IF(Лист2!#REF!&lt;=0, "нет данных", (Лист2!#REF!-Лист3!A57)^2),2)</f>
        <v>#REF!</v>
      </c>
      <c r="E57" s="1" t="e">
        <f>IF(Лист2!#REF! &lt;= 0, "нет данных", (Лист2!#REF!-Лист3!A57)^2)</f>
        <v>#REF!</v>
      </c>
      <c r="F57" s="1" t="e">
        <f>IF(Лист2!#REF!&lt;=0, "нет данных", (Лист2!#REF!-Лист3!A57)^2)</f>
        <v>#REF!</v>
      </c>
      <c r="G57" s="1" t="e">
        <f>IF(Лист2!#REF!&lt;=0, "нет данных", (Лист2!#REF!-Лист3!A57)^2)</f>
        <v>#REF!</v>
      </c>
      <c r="I57" s="1" t="e">
        <f t="shared" si="8"/>
        <v>#REF!</v>
      </c>
      <c r="J57" s="1" t="e">
        <f t="shared" si="9"/>
        <v>#REF!</v>
      </c>
      <c r="K57" s="1" t="e">
        <f>MIN(Лист2!#REF!)</f>
        <v>#REF!</v>
      </c>
      <c r="L57" s="1" t="e">
        <f>ROUND(J57*Лист2!#REF!,2)</f>
        <v>#REF!</v>
      </c>
      <c r="M57" s="1">
        <f>COUNTA(Лист2!#REF!)</f>
        <v>1</v>
      </c>
    </row>
    <row r="58" spans="1:13" x14ac:dyDescent="0.25">
      <c r="A58" s="1" t="e">
        <f>SUM(Лист2!E60:I60)/M58</f>
        <v>#DIV/0!</v>
      </c>
      <c r="B58" s="1" t="e">
        <f t="shared" si="6"/>
        <v>#VALUE!</v>
      </c>
      <c r="C58" s="1" t="e">
        <f t="shared" si="7"/>
        <v>#VALUE!</v>
      </c>
      <c r="D58" s="1" t="e">
        <f>ROUND(IF(Лист2!E60&lt;=0, "нет данных", (Лист2!E60-Лист3!A58)^2),2)</f>
        <v>#VALUE!</v>
      </c>
      <c r="E58" s="1" t="str">
        <f>IF(Лист2!F60 &lt;= 0, "нет данных", (Лист2!F60-Лист3!A58)^2)</f>
        <v>нет данных</v>
      </c>
      <c r="F58" s="1" t="str">
        <f>IF(Лист2!G60&lt;=0, "нет данных", (Лист2!G60-Лист3!A58)^2)</f>
        <v>нет данных</v>
      </c>
      <c r="G58" s="1" t="str">
        <f>IF(Лист2!H60&lt;=0, "нет данных", (Лист2!H60-Лист3!A58)^2)</f>
        <v>нет данных</v>
      </c>
      <c r="I58" s="1" t="e">
        <f t="shared" si="8"/>
        <v>#VALUE!</v>
      </c>
      <c r="J58" s="1" t="e">
        <f t="shared" si="9"/>
        <v>#VALUE!</v>
      </c>
      <c r="K58" s="1">
        <f>MIN(Лист2!E60:G60)</f>
        <v>0</v>
      </c>
      <c r="L58" s="1" t="e">
        <f>ROUND(J58*Лист2!C60,2)</f>
        <v>#VALUE!</v>
      </c>
      <c r="M58" s="1">
        <f>COUNTA(Лист2!E60:I60)</f>
        <v>0</v>
      </c>
    </row>
    <row r="59" spans="1:13" x14ac:dyDescent="0.25">
      <c r="A59" s="1" t="e">
        <f>SUM(Лист2!E61:I61)/M59</f>
        <v>#DIV/0!</v>
      </c>
      <c r="B59" s="1" t="e">
        <f t="shared" si="6"/>
        <v>#VALUE!</v>
      </c>
      <c r="C59" s="1" t="e">
        <f t="shared" si="7"/>
        <v>#VALUE!</v>
      </c>
      <c r="D59" s="1" t="e">
        <f>ROUND(IF(Лист2!E61&lt;=0, "нет данных", (Лист2!E61-Лист3!A59)^2),2)</f>
        <v>#VALUE!</v>
      </c>
      <c r="E59" s="1" t="str">
        <f>IF(Лист2!F61 &lt;= 0, "нет данных", (Лист2!F61-Лист3!A59)^2)</f>
        <v>нет данных</v>
      </c>
      <c r="F59" s="1" t="str">
        <f>IF(Лист2!G61&lt;=0, "нет данных", (Лист2!G61-Лист3!A59)^2)</f>
        <v>нет данных</v>
      </c>
      <c r="G59" s="1" t="str">
        <f>IF(Лист2!H61&lt;=0, "нет данных", (Лист2!H61-Лист3!A59)^2)</f>
        <v>нет данных</v>
      </c>
      <c r="I59" s="1" t="e">
        <f t="shared" si="8"/>
        <v>#VALUE!</v>
      </c>
      <c r="J59" s="1" t="e">
        <f t="shared" si="9"/>
        <v>#VALUE!</v>
      </c>
      <c r="K59" s="1">
        <f>MIN(Лист2!E61:G61)</f>
        <v>0</v>
      </c>
      <c r="L59" s="1" t="e">
        <f>ROUND(J59*Лист2!C61,2)</f>
        <v>#VALUE!</v>
      </c>
      <c r="M59" s="1">
        <f>COUNTA(Лист2!E61:I61)</f>
        <v>0</v>
      </c>
    </row>
    <row r="60" spans="1:13" x14ac:dyDescent="0.25">
      <c r="A60" s="1" t="e">
        <f>SUM(Лист2!E62:I62)/M60</f>
        <v>#DIV/0!</v>
      </c>
      <c r="B60" s="1" t="e">
        <f t="shared" si="6"/>
        <v>#VALUE!</v>
      </c>
      <c r="C60" s="1" t="e">
        <f t="shared" si="7"/>
        <v>#VALUE!</v>
      </c>
      <c r="D60" s="1" t="e">
        <f>ROUND(IF(Лист2!E62&lt;=0, "нет данных", (Лист2!E62-Лист3!A60)^2),2)</f>
        <v>#VALUE!</v>
      </c>
      <c r="E60" s="1" t="str">
        <f>IF(Лист2!F62 &lt;= 0, "нет данных", (Лист2!F62-Лист3!A60)^2)</f>
        <v>нет данных</v>
      </c>
      <c r="F60" s="1" t="str">
        <f>IF(Лист2!G62&lt;=0, "нет данных", (Лист2!G62-Лист3!A60)^2)</f>
        <v>нет данных</v>
      </c>
      <c r="G60" s="1" t="str">
        <f>IF(Лист2!H62&lt;=0, "нет данных", (Лист2!H62-Лист3!A60)^2)</f>
        <v>нет данных</v>
      </c>
      <c r="I60" s="1" t="e">
        <f t="shared" si="8"/>
        <v>#VALUE!</v>
      </c>
      <c r="J60" s="1" t="e">
        <f t="shared" si="9"/>
        <v>#VALUE!</v>
      </c>
      <c r="K60" s="1">
        <f>MIN(Лист2!E62:G62)</f>
        <v>0</v>
      </c>
      <c r="L60" s="1" t="e">
        <f>ROUND(J60*Лист2!C62,2)</f>
        <v>#VALUE!</v>
      </c>
      <c r="M60" s="1">
        <f>COUNTA(Лист2!E62:I62)</f>
        <v>0</v>
      </c>
    </row>
    <row r="61" spans="1:13" x14ac:dyDescent="0.25">
      <c r="A61" s="1" t="e">
        <f>SUM(Лист2!E63:I63)/M61</f>
        <v>#DIV/0!</v>
      </c>
      <c r="B61" s="1" t="e">
        <f t="shared" si="6"/>
        <v>#VALUE!</v>
      </c>
      <c r="C61" s="1" t="e">
        <f t="shared" si="7"/>
        <v>#VALUE!</v>
      </c>
      <c r="D61" s="1" t="e">
        <f>ROUND(IF(Лист2!E63&lt;=0, "нет данных", (Лист2!E63-Лист3!A61)^2),2)</f>
        <v>#VALUE!</v>
      </c>
      <c r="E61" s="1" t="str">
        <f>IF(Лист2!F63 &lt;= 0, "нет данных", (Лист2!F63-Лист3!A61)^2)</f>
        <v>нет данных</v>
      </c>
      <c r="F61" s="1" t="str">
        <f>IF(Лист2!G63&lt;=0, "нет данных", (Лист2!G63-Лист3!A61)^2)</f>
        <v>нет данных</v>
      </c>
      <c r="G61" s="1" t="str">
        <f>IF(Лист2!H63&lt;=0, "нет данных", (Лист2!H63-Лист3!A61)^2)</f>
        <v>нет данных</v>
      </c>
      <c r="I61" s="1" t="e">
        <f t="shared" si="8"/>
        <v>#VALUE!</v>
      </c>
      <c r="J61" s="1" t="e">
        <f t="shared" si="9"/>
        <v>#VALUE!</v>
      </c>
      <c r="K61" s="1">
        <f>MIN(Лист2!E63:G63)</f>
        <v>0</v>
      </c>
      <c r="L61" s="1" t="e">
        <f>ROUND(J61*Лист2!C63,2)</f>
        <v>#VALUE!</v>
      </c>
      <c r="M61" s="1">
        <f>COUNTA(Лист2!E63:I63)</f>
        <v>0</v>
      </c>
    </row>
    <row r="62" spans="1:13" x14ac:dyDescent="0.25">
      <c r="A62" s="1" t="e">
        <f>SUM(Лист2!E64:I64)/M62</f>
        <v>#DIV/0!</v>
      </c>
      <c r="B62" s="1" t="e">
        <f t="shared" si="6"/>
        <v>#VALUE!</v>
      </c>
      <c r="C62" s="1" t="e">
        <f t="shared" si="7"/>
        <v>#VALUE!</v>
      </c>
      <c r="D62" s="1" t="e">
        <f>ROUND(IF(Лист2!E64&lt;=0, "нет данных", (Лист2!E64-Лист3!A62)^2),2)</f>
        <v>#VALUE!</v>
      </c>
      <c r="E62" s="1" t="str">
        <f>IF(Лист2!F64 &lt;= 0, "нет данных", (Лист2!F64-Лист3!A62)^2)</f>
        <v>нет данных</v>
      </c>
      <c r="F62" s="1" t="str">
        <f>IF(Лист2!G64&lt;=0, "нет данных", (Лист2!G64-Лист3!A62)^2)</f>
        <v>нет данных</v>
      </c>
      <c r="G62" s="1" t="str">
        <f>IF(Лист2!H64&lt;=0, "нет данных", (Лист2!H64-Лист3!A62)^2)</f>
        <v>нет данных</v>
      </c>
      <c r="I62" s="1" t="e">
        <f t="shared" si="8"/>
        <v>#VALUE!</v>
      </c>
      <c r="J62" s="1" t="e">
        <f t="shared" si="9"/>
        <v>#VALUE!</v>
      </c>
      <c r="K62" s="1">
        <f>MIN(Лист2!E64:G64)</f>
        <v>0</v>
      </c>
      <c r="L62" s="1" t="e">
        <f>ROUND(J62*Лист2!C64,2)</f>
        <v>#VALUE!</v>
      </c>
      <c r="M62" s="1">
        <f>COUNTA(Лист2!E64:I64)</f>
        <v>0</v>
      </c>
    </row>
    <row r="63" spans="1:13" x14ac:dyDescent="0.25">
      <c r="A63" s="1" t="e">
        <f>SUM(Лист2!E65:I65)/M63</f>
        <v>#DIV/0!</v>
      </c>
      <c r="B63" s="1" t="e">
        <f t="shared" si="6"/>
        <v>#VALUE!</v>
      </c>
      <c r="C63" s="1" t="e">
        <f t="shared" si="7"/>
        <v>#VALUE!</v>
      </c>
      <c r="D63" s="1" t="e">
        <f>ROUND(IF(Лист2!E65&lt;=0, "нет данных", (Лист2!E65-Лист3!A63)^2),2)</f>
        <v>#VALUE!</v>
      </c>
      <c r="E63" s="1" t="str">
        <f>IF(Лист2!F65 &lt;= 0, "нет данных", (Лист2!F65-Лист3!A63)^2)</f>
        <v>нет данных</v>
      </c>
      <c r="F63" s="1" t="str">
        <f>IF(Лист2!G65&lt;=0, "нет данных", (Лист2!G65-Лист3!A63)^2)</f>
        <v>нет данных</v>
      </c>
      <c r="G63" s="1" t="str">
        <f>IF(Лист2!H65&lt;=0, "нет данных", (Лист2!H65-Лист3!A63)^2)</f>
        <v>нет данных</v>
      </c>
      <c r="I63" s="1" t="e">
        <f t="shared" si="8"/>
        <v>#VALUE!</v>
      </c>
      <c r="J63" s="1" t="e">
        <f t="shared" si="9"/>
        <v>#VALUE!</v>
      </c>
      <c r="K63" s="1">
        <f>MIN(Лист2!E65:G65)</f>
        <v>0</v>
      </c>
      <c r="L63" s="1" t="e">
        <f>ROUND(J63*Лист2!C65,2)</f>
        <v>#VALUE!</v>
      </c>
      <c r="M63" s="1">
        <f>COUNTA(Лист2!E65:I65)</f>
        <v>0</v>
      </c>
    </row>
    <row r="64" spans="1:13" x14ac:dyDescent="0.25">
      <c r="A64" s="1" t="e">
        <f>SUM(Лист2!E66:I66)/M64</f>
        <v>#DIV/0!</v>
      </c>
      <c r="B64" s="1" t="e">
        <f t="shared" si="6"/>
        <v>#VALUE!</v>
      </c>
      <c r="C64" s="1" t="e">
        <f t="shared" si="7"/>
        <v>#VALUE!</v>
      </c>
      <c r="D64" s="1" t="e">
        <f>ROUND(IF(Лист2!E66&lt;=0, "нет данных", (Лист2!E66-Лист3!A64)^2),2)</f>
        <v>#VALUE!</v>
      </c>
      <c r="E64" s="1" t="str">
        <f>IF(Лист2!F66 &lt;= 0, "нет данных", (Лист2!F66-Лист3!A64)^2)</f>
        <v>нет данных</v>
      </c>
      <c r="F64" s="1" t="str">
        <f>IF(Лист2!G66&lt;=0, "нет данных", (Лист2!G66-Лист3!A64)^2)</f>
        <v>нет данных</v>
      </c>
      <c r="G64" s="1" t="str">
        <f>IF(Лист2!H66&lt;=0, "нет данных", (Лист2!H66-Лист3!A64)^2)</f>
        <v>нет данных</v>
      </c>
      <c r="I64" s="1" t="e">
        <f t="shared" si="8"/>
        <v>#VALUE!</v>
      </c>
      <c r="J64" s="1" t="e">
        <f t="shared" si="9"/>
        <v>#VALUE!</v>
      </c>
      <c r="K64" s="1">
        <f>MIN(Лист2!E66:G66)</f>
        <v>0</v>
      </c>
      <c r="L64" s="1" t="e">
        <f>ROUND(J64*Лист2!C66,2)</f>
        <v>#VALUE!</v>
      </c>
      <c r="M64" s="1">
        <f>COUNTA(Лист2!E66:I66)</f>
        <v>0</v>
      </c>
    </row>
    <row r="65" spans="1:13" x14ac:dyDescent="0.25">
      <c r="A65" s="1" t="e">
        <f>SUM(Лист2!E67:I67)/M65</f>
        <v>#DIV/0!</v>
      </c>
      <c r="B65" s="1" t="e">
        <f t="shared" si="6"/>
        <v>#VALUE!</v>
      </c>
      <c r="C65" s="1" t="e">
        <f t="shared" si="7"/>
        <v>#VALUE!</v>
      </c>
      <c r="D65" s="1" t="e">
        <f>ROUND(IF(Лист2!E67&lt;=0, "нет данных", (Лист2!E67-Лист3!A65)^2),2)</f>
        <v>#VALUE!</v>
      </c>
      <c r="E65" s="1" t="str">
        <f>IF(Лист2!F67 &lt;= 0, "нет данных", (Лист2!F67-Лист3!A65)^2)</f>
        <v>нет данных</v>
      </c>
      <c r="F65" s="1" t="str">
        <f>IF(Лист2!G67&lt;=0, "нет данных", (Лист2!G67-Лист3!A65)^2)</f>
        <v>нет данных</v>
      </c>
      <c r="G65" s="1" t="str">
        <f>IF(Лист2!H67&lt;=0, "нет данных", (Лист2!H67-Лист3!A65)^2)</f>
        <v>нет данных</v>
      </c>
      <c r="I65" s="1" t="e">
        <f t="shared" si="8"/>
        <v>#VALUE!</v>
      </c>
      <c r="J65" s="1" t="e">
        <f t="shared" si="9"/>
        <v>#VALUE!</v>
      </c>
      <c r="K65" s="1">
        <f>MIN(Лист2!E67:G67)</f>
        <v>0</v>
      </c>
      <c r="L65" s="1" t="e">
        <f>ROUND(J65*Лист2!C67,2)</f>
        <v>#VALUE!</v>
      </c>
      <c r="M65" s="1">
        <f>COUNTA(Лист2!E67:I67)</f>
        <v>0</v>
      </c>
    </row>
    <row r="66" spans="1:13" x14ac:dyDescent="0.25">
      <c r="A66" s="1" t="e">
        <f>SUM(Лист2!E68:I68)/M66</f>
        <v>#DIV/0!</v>
      </c>
      <c r="B66" s="1" t="e">
        <f t="shared" si="6"/>
        <v>#VALUE!</v>
      </c>
      <c r="C66" s="1" t="e">
        <f t="shared" si="7"/>
        <v>#VALUE!</v>
      </c>
      <c r="D66" s="1" t="e">
        <f>ROUND(IF(Лист2!E68&lt;=0, "нет данных", (Лист2!E68-Лист3!A66)^2),2)</f>
        <v>#VALUE!</v>
      </c>
      <c r="E66" s="1" t="str">
        <f>IF(Лист2!F68 &lt;= 0, "нет данных", (Лист2!F68-Лист3!A66)^2)</f>
        <v>нет данных</v>
      </c>
      <c r="F66" s="1" t="str">
        <f>IF(Лист2!G68&lt;=0, "нет данных", (Лист2!G68-Лист3!A66)^2)</f>
        <v>нет данных</v>
      </c>
      <c r="G66" s="1" t="str">
        <f>IF(Лист2!H68&lt;=0, "нет данных", (Лист2!H68-Лист3!A66)^2)</f>
        <v>нет данных</v>
      </c>
      <c r="I66" s="1" t="e">
        <f t="shared" si="8"/>
        <v>#VALUE!</v>
      </c>
      <c r="J66" s="1" t="e">
        <f t="shared" si="9"/>
        <v>#VALUE!</v>
      </c>
      <c r="K66" s="1">
        <f>MIN(Лист2!E68:G68)</f>
        <v>0</v>
      </c>
      <c r="L66" s="1" t="e">
        <f>ROUND(J66*Лист2!C68,2)</f>
        <v>#VALUE!</v>
      </c>
      <c r="M66" s="1">
        <f>COUNTA(Лист2!E68:I68)</f>
        <v>0</v>
      </c>
    </row>
    <row r="67" spans="1:13" x14ac:dyDescent="0.25">
      <c r="A67" s="1" t="e">
        <f>SUM(Лист2!E69:I69)/M67</f>
        <v>#DIV/0!</v>
      </c>
      <c r="B67" s="1" t="e">
        <f t="shared" si="6"/>
        <v>#VALUE!</v>
      </c>
      <c r="C67" s="1" t="e">
        <f t="shared" si="7"/>
        <v>#VALUE!</v>
      </c>
      <c r="D67" s="1" t="e">
        <f>ROUND(IF(Лист2!E69&lt;=0, "нет данных", (Лист2!E69-Лист3!A67)^2),2)</f>
        <v>#VALUE!</v>
      </c>
      <c r="E67" s="1" t="str">
        <f>IF(Лист2!F69 &lt;= 0, "нет данных", (Лист2!F69-Лист3!A67)^2)</f>
        <v>нет данных</v>
      </c>
      <c r="F67" s="1" t="str">
        <f>IF(Лист2!G69&lt;=0, "нет данных", (Лист2!G69-Лист3!A67)^2)</f>
        <v>нет данных</v>
      </c>
      <c r="G67" s="1" t="str">
        <f>IF(Лист2!H69&lt;=0, "нет данных", (Лист2!H69-Лист3!A67)^2)</f>
        <v>нет данных</v>
      </c>
      <c r="I67" s="1" t="e">
        <f t="shared" si="8"/>
        <v>#VALUE!</v>
      </c>
      <c r="J67" s="1" t="e">
        <f t="shared" si="9"/>
        <v>#VALUE!</v>
      </c>
      <c r="K67" s="1">
        <f>MIN(Лист2!E69:G69)</f>
        <v>0</v>
      </c>
      <c r="L67" s="1" t="e">
        <f>ROUND(J67*Лист2!C69,2)</f>
        <v>#VALUE!</v>
      </c>
      <c r="M67" s="1">
        <f>COUNTA(Лист2!E69:I69)</f>
        <v>0</v>
      </c>
    </row>
    <row r="68" spans="1:13" x14ac:dyDescent="0.25">
      <c r="A68" s="1" t="e">
        <f>SUM(Лист2!E70:I70)/M68</f>
        <v>#DIV/0!</v>
      </c>
      <c r="B68" s="1" t="e">
        <f t="shared" si="6"/>
        <v>#VALUE!</v>
      </c>
      <c r="C68" s="1" t="e">
        <f t="shared" si="7"/>
        <v>#VALUE!</v>
      </c>
      <c r="D68" s="1" t="e">
        <f>ROUND(IF(Лист2!E70&lt;=0, "нет данных", (Лист2!E70-Лист3!A68)^2),2)</f>
        <v>#VALUE!</v>
      </c>
      <c r="E68" s="1" t="str">
        <f>IF(Лист2!F70 &lt;= 0, "нет данных", (Лист2!F70-Лист3!A68)^2)</f>
        <v>нет данных</v>
      </c>
      <c r="F68" s="1" t="str">
        <f>IF(Лист2!G70&lt;=0, "нет данных", (Лист2!G70-Лист3!A68)^2)</f>
        <v>нет данных</v>
      </c>
      <c r="G68" s="1" t="str">
        <f>IF(Лист2!H70&lt;=0, "нет данных", (Лист2!H70-Лист3!A68)^2)</f>
        <v>нет данных</v>
      </c>
      <c r="I68" s="1" t="e">
        <f t="shared" si="8"/>
        <v>#VALUE!</v>
      </c>
      <c r="J68" s="1" t="e">
        <f t="shared" si="9"/>
        <v>#VALUE!</v>
      </c>
      <c r="K68" s="1">
        <f>MIN(Лист2!E70:G70)</f>
        <v>0</v>
      </c>
      <c r="L68" s="1" t="e">
        <f>ROUND(J68*Лист2!C70,2)</f>
        <v>#VALUE!</v>
      </c>
      <c r="M68" s="1">
        <f>COUNTA(Лист2!E70:I70)</f>
        <v>0</v>
      </c>
    </row>
    <row r="69" spans="1:13" x14ac:dyDescent="0.25">
      <c r="A69" s="1">
        <f>SUM(Лист2!E43:I43)/M69</f>
        <v>844.66666666666663</v>
      </c>
      <c r="B69" s="1">
        <f t="shared" ref="B69:B90" si="10">ROUND(SQRT(C69/M69),2)</f>
        <v>4.1100000000000003</v>
      </c>
      <c r="C69" s="1">
        <f t="shared" ref="C69:C90" si="11">ROUND(SUM(D69:H69),2)</f>
        <v>50.66</v>
      </c>
      <c r="D69" s="1">
        <f>ROUND(IF(Лист2!E43&lt;=0, "нет данных", (Лист2!E43-Лист3!A69)^2),2)</f>
        <v>0.44</v>
      </c>
      <c r="E69" s="1">
        <f>IF(Лист2!F43 &lt;= 0, "нет данных", (Лист2!F43-Лист3!A69)^2)</f>
        <v>21.777777777777423</v>
      </c>
      <c r="F69" s="1">
        <f>IF(Лист2!G43&lt;=0, "нет данных", (Лист2!G43-Лист3!A69)^2)</f>
        <v>28.444444444444848</v>
      </c>
      <c r="G69" s="1" t="str">
        <f>IF(Лист2!H43&lt;=0, "нет данных", (Лист2!H43-Лист3!A69)^2)</f>
        <v>нет данных</v>
      </c>
      <c r="I69" s="1">
        <f t="shared" si="5"/>
        <v>0</v>
      </c>
      <c r="J69" s="1">
        <f t="shared" ref="J69:J90" si="12">IF(I69&gt;=0.32, "не принимать", IF(I69&lt;=0.05, A69, IF(I69&gt;0.05, K69)))</f>
        <v>844.66666666666663</v>
      </c>
      <c r="K69" s="1">
        <f>MIN(Лист2!E43:G43)</f>
        <v>840</v>
      </c>
      <c r="L69" s="1">
        <f>ROUND(J69*Лист2!C43,2)</f>
        <v>211166.67</v>
      </c>
      <c r="M69" s="1">
        <f>COUNTA(Лист2!E43:I43)</f>
        <v>3</v>
      </c>
    </row>
    <row r="70" spans="1:13" x14ac:dyDescent="0.25">
      <c r="A70" s="1" t="e">
        <f>SUM(Лист2!H44:I44)/M70</f>
        <v>#DIV/0!</v>
      </c>
      <c r="B70" s="1" t="e">
        <f t="shared" si="10"/>
        <v>#REF!</v>
      </c>
      <c r="C70" s="1" t="e">
        <f t="shared" si="11"/>
        <v>#REF!</v>
      </c>
      <c r="D70" s="1" t="e">
        <f>ROUND(IF(Лист2!#REF!&lt;=0, "нет данных", (Лист2!#REF!-Лист3!A70)^2),2)</f>
        <v>#REF!</v>
      </c>
      <c r="E70" s="1" t="e">
        <f>IF(Лист2!#REF! &lt;= 0, "нет данных", (Лист2!#REF!-Лист3!A70)^2)</f>
        <v>#REF!</v>
      </c>
      <c r="F70" s="1" t="e">
        <f>IF(Лист2!#REF!&lt;=0, "нет данных", (Лист2!#REF!-Лист3!A70)^2)</f>
        <v>#REF!</v>
      </c>
      <c r="G70" s="1" t="str">
        <f>IF(Лист2!H44&lt;=0, "нет данных", (Лист2!H44-Лист3!A70)^2)</f>
        <v>нет данных</v>
      </c>
      <c r="I70" s="1" t="e">
        <f t="shared" si="5"/>
        <v>#REF!</v>
      </c>
      <c r="J70" s="1" t="e">
        <f t="shared" si="12"/>
        <v>#REF!</v>
      </c>
      <c r="K70" s="1" t="e">
        <f>MIN(Лист2!#REF!)</f>
        <v>#REF!</v>
      </c>
      <c r="L70" s="1" t="e">
        <f>ROUND(J70*Лист2!#REF!,2)</f>
        <v>#REF!</v>
      </c>
      <c r="M70" s="1">
        <f>COUNTA(Лист2!H44:I44)</f>
        <v>0</v>
      </c>
    </row>
    <row r="71" spans="1:13" x14ac:dyDescent="0.25">
      <c r="A71" s="1" t="e">
        <f>SUM(Лист2!#REF!)/M71</f>
        <v>#REF!</v>
      </c>
      <c r="B71" s="1" t="e">
        <f t="shared" si="10"/>
        <v>#REF!</v>
      </c>
      <c r="C71" s="1" t="e">
        <f t="shared" si="11"/>
        <v>#REF!</v>
      </c>
      <c r="D71" s="1" t="e">
        <f>ROUND(IF(Лист2!#REF!&lt;=0, "нет данных", (Лист2!#REF!-Лист3!A71)^2),2)</f>
        <v>#REF!</v>
      </c>
      <c r="E71" s="1" t="e">
        <f>IF(Лист2!#REF! &lt;= 0, "нет данных", (Лист2!#REF!-Лист3!A71)^2)</f>
        <v>#REF!</v>
      </c>
      <c r="F71" s="1" t="e">
        <f>IF(Лист2!#REF!&lt;=0, "нет данных", (Лист2!#REF!-Лист3!A71)^2)</f>
        <v>#REF!</v>
      </c>
      <c r="G71" s="1" t="e">
        <f>IF(Лист2!#REF!&lt;=0, "нет данных", (Лист2!#REF!-Лист3!A71)^2)</f>
        <v>#REF!</v>
      </c>
      <c r="I71" s="1" t="e">
        <f t="shared" ref="I71:I90" si="13">ROUND(B71/A71,2)</f>
        <v>#REF!</v>
      </c>
      <c r="J71" s="1" t="e">
        <f t="shared" si="12"/>
        <v>#REF!</v>
      </c>
      <c r="K71" s="1" t="e">
        <f>MIN(Лист2!#REF!)</f>
        <v>#REF!</v>
      </c>
      <c r="L71" s="1" t="e">
        <f>ROUND(J71*Лист2!#REF!,2)</f>
        <v>#REF!</v>
      </c>
      <c r="M71" s="1">
        <f>COUNTA(Лист2!#REF!)</f>
        <v>1</v>
      </c>
    </row>
    <row r="72" spans="1:13" x14ac:dyDescent="0.25">
      <c r="A72" s="1" t="e">
        <f>SUM(Лист2!#REF!)/M72</f>
        <v>#REF!</v>
      </c>
      <c r="B72" s="1" t="e">
        <f t="shared" si="10"/>
        <v>#REF!</v>
      </c>
      <c r="C72" s="1" t="e">
        <f t="shared" si="11"/>
        <v>#REF!</v>
      </c>
      <c r="D72" s="1" t="e">
        <f>ROUND(IF(Лист2!#REF!&lt;=0, "нет данных", (Лист2!#REF!-Лист3!A72)^2),2)</f>
        <v>#REF!</v>
      </c>
      <c r="E72" s="1" t="e">
        <f>IF(Лист2!#REF! &lt;= 0, "нет данных", (Лист2!#REF!-Лист3!A72)^2)</f>
        <v>#REF!</v>
      </c>
      <c r="F72" s="1" t="e">
        <f>IF(Лист2!#REF!&lt;=0, "нет данных", (Лист2!#REF!-Лист3!A72)^2)</f>
        <v>#REF!</v>
      </c>
      <c r="G72" s="1" t="e">
        <f>IF(Лист2!#REF!&lt;=0, "нет данных", (Лист2!#REF!-Лист3!A72)^2)</f>
        <v>#REF!</v>
      </c>
      <c r="I72" s="1" t="e">
        <f t="shared" si="13"/>
        <v>#REF!</v>
      </c>
      <c r="J72" s="1" t="e">
        <f t="shared" si="12"/>
        <v>#REF!</v>
      </c>
      <c r="K72" s="1" t="e">
        <f>MIN(Лист2!#REF!)</f>
        <v>#REF!</v>
      </c>
      <c r="L72" s="1" t="e">
        <f>ROUND(J72*Лист2!#REF!,2)</f>
        <v>#REF!</v>
      </c>
      <c r="M72" s="1">
        <f>COUNTA(Лист2!#REF!)</f>
        <v>1</v>
      </c>
    </row>
    <row r="73" spans="1:13" x14ac:dyDescent="0.25">
      <c r="A73" s="1" t="e">
        <f>SUM(Лист2!#REF!)/M73</f>
        <v>#REF!</v>
      </c>
      <c r="B73" s="1" t="e">
        <f t="shared" si="10"/>
        <v>#REF!</v>
      </c>
      <c r="C73" s="1" t="e">
        <f t="shared" si="11"/>
        <v>#REF!</v>
      </c>
      <c r="D73" s="1" t="e">
        <f>ROUND(IF(Лист2!#REF!&lt;=0, "нет данных", (Лист2!#REF!-Лист3!A73)^2),2)</f>
        <v>#REF!</v>
      </c>
      <c r="E73" s="1" t="e">
        <f>IF(Лист2!#REF! &lt;= 0, "нет данных", (Лист2!#REF!-Лист3!A73)^2)</f>
        <v>#REF!</v>
      </c>
      <c r="F73" s="1" t="e">
        <f>IF(Лист2!#REF!&lt;=0, "нет данных", (Лист2!#REF!-Лист3!A73)^2)</f>
        <v>#REF!</v>
      </c>
      <c r="G73" s="1" t="e">
        <f>IF(Лист2!#REF!&lt;=0, "нет данных", (Лист2!#REF!-Лист3!A73)^2)</f>
        <v>#REF!</v>
      </c>
      <c r="I73" s="1" t="e">
        <f t="shared" si="13"/>
        <v>#REF!</v>
      </c>
      <c r="J73" s="1" t="e">
        <f t="shared" si="12"/>
        <v>#REF!</v>
      </c>
      <c r="K73" s="1" t="e">
        <f>MIN(Лист2!#REF!)</f>
        <v>#REF!</v>
      </c>
      <c r="L73" s="1" t="e">
        <f>ROUND(J73*Лист2!#REF!,2)</f>
        <v>#REF!</v>
      </c>
      <c r="M73" s="1">
        <f>COUNTA(Лист2!#REF!)</f>
        <v>1</v>
      </c>
    </row>
    <row r="74" spans="1:13" x14ac:dyDescent="0.25">
      <c r="A74" s="1" t="e">
        <f>SUM(Лист2!#REF!)/M74</f>
        <v>#REF!</v>
      </c>
      <c r="B74" s="1" t="e">
        <f t="shared" si="10"/>
        <v>#REF!</v>
      </c>
      <c r="C74" s="1" t="e">
        <f t="shared" si="11"/>
        <v>#REF!</v>
      </c>
      <c r="D74" s="1" t="e">
        <f>ROUND(IF(Лист2!#REF!&lt;=0, "нет данных", (Лист2!#REF!-Лист3!A74)^2),2)</f>
        <v>#REF!</v>
      </c>
      <c r="E74" s="1" t="e">
        <f>IF(Лист2!#REF! &lt;= 0, "нет данных", (Лист2!#REF!-Лист3!A74)^2)</f>
        <v>#REF!</v>
      </c>
      <c r="F74" s="1" t="e">
        <f>IF(Лист2!#REF!&lt;=0, "нет данных", (Лист2!#REF!-Лист3!A74)^2)</f>
        <v>#REF!</v>
      </c>
      <c r="G74" s="1" t="e">
        <f>IF(Лист2!#REF!&lt;=0, "нет данных", (Лист2!#REF!-Лист3!A74)^2)</f>
        <v>#REF!</v>
      </c>
      <c r="I74" s="1" t="e">
        <f t="shared" si="13"/>
        <v>#REF!</v>
      </c>
      <c r="J74" s="1" t="e">
        <f t="shared" si="12"/>
        <v>#REF!</v>
      </c>
      <c r="K74" s="1" t="e">
        <f>MIN(Лист2!#REF!)</f>
        <v>#REF!</v>
      </c>
      <c r="L74" s="1" t="e">
        <f>ROUND(J74*Лист2!#REF!,2)</f>
        <v>#REF!</v>
      </c>
      <c r="M74" s="1">
        <f>COUNTA(Лист2!#REF!)</f>
        <v>1</v>
      </c>
    </row>
    <row r="75" spans="1:13" x14ac:dyDescent="0.25">
      <c r="A75" s="1" t="e">
        <f>SUM(Лист2!#REF!)/M75</f>
        <v>#REF!</v>
      </c>
      <c r="B75" s="1" t="e">
        <f t="shared" si="10"/>
        <v>#REF!</v>
      </c>
      <c r="C75" s="1" t="e">
        <f t="shared" si="11"/>
        <v>#REF!</v>
      </c>
      <c r="D75" s="1" t="e">
        <f>ROUND(IF(Лист2!#REF!&lt;=0, "нет данных", (Лист2!#REF!-Лист3!A75)^2),2)</f>
        <v>#REF!</v>
      </c>
      <c r="E75" s="1" t="e">
        <f>IF(Лист2!#REF! &lt;= 0, "нет данных", (Лист2!#REF!-Лист3!A75)^2)</f>
        <v>#REF!</v>
      </c>
      <c r="F75" s="1" t="e">
        <f>IF(Лист2!#REF!&lt;=0, "нет данных", (Лист2!#REF!-Лист3!A75)^2)</f>
        <v>#REF!</v>
      </c>
      <c r="G75" s="1" t="e">
        <f>IF(Лист2!#REF!&lt;=0, "нет данных", (Лист2!#REF!-Лист3!A75)^2)</f>
        <v>#REF!</v>
      </c>
      <c r="I75" s="1" t="e">
        <f t="shared" si="13"/>
        <v>#REF!</v>
      </c>
      <c r="J75" s="1" t="e">
        <f t="shared" si="12"/>
        <v>#REF!</v>
      </c>
      <c r="K75" s="1" t="e">
        <f>MIN(Лист2!#REF!)</f>
        <v>#REF!</v>
      </c>
      <c r="L75" s="1" t="e">
        <f>ROUND(J75*Лист2!#REF!,2)</f>
        <v>#REF!</v>
      </c>
      <c r="M75" s="1">
        <f>COUNTA(Лист2!#REF!)</f>
        <v>1</v>
      </c>
    </row>
    <row r="76" spans="1:13" x14ac:dyDescent="0.25">
      <c r="A76" s="1" t="e">
        <f>SUM(Лист2!#REF!)/M76</f>
        <v>#REF!</v>
      </c>
      <c r="B76" s="1" t="e">
        <f t="shared" si="10"/>
        <v>#REF!</v>
      </c>
      <c r="C76" s="1" t="e">
        <f t="shared" si="11"/>
        <v>#REF!</v>
      </c>
      <c r="D76" s="1" t="e">
        <f>ROUND(IF(Лист2!#REF!&lt;=0, "нет данных", (Лист2!#REF!-Лист3!A76)^2),2)</f>
        <v>#REF!</v>
      </c>
      <c r="E76" s="1" t="e">
        <f>IF(Лист2!#REF! &lt;= 0, "нет данных", (Лист2!#REF!-Лист3!A76)^2)</f>
        <v>#REF!</v>
      </c>
      <c r="F76" s="1" t="e">
        <f>IF(Лист2!#REF!&lt;=0, "нет данных", (Лист2!#REF!-Лист3!A76)^2)</f>
        <v>#REF!</v>
      </c>
      <c r="G76" s="1" t="e">
        <f>IF(Лист2!#REF!&lt;=0, "нет данных", (Лист2!#REF!-Лист3!A76)^2)</f>
        <v>#REF!</v>
      </c>
      <c r="I76" s="1" t="e">
        <f t="shared" si="13"/>
        <v>#REF!</v>
      </c>
      <c r="J76" s="1" t="e">
        <f t="shared" si="12"/>
        <v>#REF!</v>
      </c>
      <c r="K76" s="1" t="e">
        <f>MIN(Лист2!#REF!)</f>
        <v>#REF!</v>
      </c>
      <c r="L76" s="1" t="e">
        <f>ROUND(J76*Лист2!#REF!,2)</f>
        <v>#REF!</v>
      </c>
      <c r="M76" s="1">
        <f>COUNTA(Лист2!#REF!)</f>
        <v>1</v>
      </c>
    </row>
    <row r="77" spans="1:13" x14ac:dyDescent="0.25">
      <c r="A77" s="1" t="e">
        <f>SUM(Лист2!#REF!)/M77</f>
        <v>#REF!</v>
      </c>
      <c r="B77" s="1" t="e">
        <f t="shared" si="10"/>
        <v>#REF!</v>
      </c>
      <c r="C77" s="1" t="e">
        <f t="shared" si="11"/>
        <v>#REF!</v>
      </c>
      <c r="D77" s="1" t="e">
        <f>ROUND(IF(Лист2!#REF!&lt;=0, "нет данных", (Лист2!#REF!-Лист3!A77)^2),2)</f>
        <v>#REF!</v>
      </c>
      <c r="E77" s="1" t="e">
        <f>IF(Лист2!#REF! &lt;= 0, "нет данных", (Лист2!#REF!-Лист3!A77)^2)</f>
        <v>#REF!</v>
      </c>
      <c r="F77" s="1" t="e">
        <f>IF(Лист2!#REF!&lt;=0, "нет данных", (Лист2!#REF!-Лист3!A77)^2)</f>
        <v>#REF!</v>
      </c>
      <c r="G77" s="1" t="e">
        <f>IF(Лист2!#REF!&lt;=0, "нет данных", (Лист2!#REF!-Лист3!A77)^2)</f>
        <v>#REF!</v>
      </c>
      <c r="I77" s="1" t="e">
        <f t="shared" si="13"/>
        <v>#REF!</v>
      </c>
      <c r="J77" s="1" t="e">
        <f t="shared" si="12"/>
        <v>#REF!</v>
      </c>
      <c r="K77" s="1" t="e">
        <f>MIN(Лист2!#REF!)</f>
        <v>#REF!</v>
      </c>
      <c r="L77" s="1" t="e">
        <f>ROUND(J77*Лист2!#REF!,2)</f>
        <v>#REF!</v>
      </c>
      <c r="M77" s="1">
        <f>COUNTA(Лист2!#REF!)</f>
        <v>1</v>
      </c>
    </row>
    <row r="78" spans="1:13" x14ac:dyDescent="0.25">
      <c r="A78" s="1" t="e">
        <f>SUM(Лист2!#REF!)/M78</f>
        <v>#REF!</v>
      </c>
      <c r="B78" s="1" t="e">
        <f t="shared" si="10"/>
        <v>#REF!</v>
      </c>
      <c r="C78" s="1" t="e">
        <f t="shared" si="11"/>
        <v>#REF!</v>
      </c>
      <c r="D78" s="1" t="e">
        <f>ROUND(IF(Лист2!#REF!&lt;=0, "нет данных", (Лист2!#REF!-Лист3!A78)^2),2)</f>
        <v>#REF!</v>
      </c>
      <c r="E78" s="1" t="e">
        <f>IF(Лист2!#REF! &lt;= 0, "нет данных", (Лист2!#REF!-Лист3!A78)^2)</f>
        <v>#REF!</v>
      </c>
      <c r="F78" s="1" t="e">
        <f>IF(Лист2!#REF!&lt;=0, "нет данных", (Лист2!#REF!-Лист3!A78)^2)</f>
        <v>#REF!</v>
      </c>
      <c r="G78" s="1" t="e">
        <f>IF(Лист2!#REF!&lt;=0, "нет данных", (Лист2!#REF!-Лист3!A78)^2)</f>
        <v>#REF!</v>
      </c>
      <c r="I78" s="1" t="e">
        <f t="shared" si="13"/>
        <v>#REF!</v>
      </c>
      <c r="J78" s="1" t="e">
        <f t="shared" si="12"/>
        <v>#REF!</v>
      </c>
      <c r="K78" s="1" t="e">
        <f>MIN(Лист2!#REF!)</f>
        <v>#REF!</v>
      </c>
      <c r="L78" s="1" t="e">
        <f>ROUND(J78*Лист2!#REF!,2)</f>
        <v>#REF!</v>
      </c>
      <c r="M78" s="1">
        <f>COUNTA(Лист2!#REF!)</f>
        <v>1</v>
      </c>
    </row>
    <row r="79" spans="1:13" x14ac:dyDescent="0.25">
      <c r="A79" s="1" t="e">
        <f>SUM(Лист2!#REF!)/M79</f>
        <v>#REF!</v>
      </c>
      <c r="B79" s="1" t="e">
        <f t="shared" si="10"/>
        <v>#REF!</v>
      </c>
      <c r="C79" s="1" t="e">
        <f t="shared" si="11"/>
        <v>#REF!</v>
      </c>
      <c r="D79" s="1" t="e">
        <f>ROUND(IF(Лист2!#REF!&lt;=0, "нет данных", (Лист2!#REF!-Лист3!A79)^2),2)</f>
        <v>#REF!</v>
      </c>
      <c r="E79" s="1" t="e">
        <f>IF(Лист2!#REF! &lt;= 0, "нет данных", (Лист2!#REF!-Лист3!A79)^2)</f>
        <v>#REF!</v>
      </c>
      <c r="F79" s="1" t="e">
        <f>IF(Лист2!#REF!&lt;=0, "нет данных", (Лист2!#REF!-Лист3!A79)^2)</f>
        <v>#REF!</v>
      </c>
      <c r="G79" s="1" t="e">
        <f>IF(Лист2!#REF!&lt;=0, "нет данных", (Лист2!#REF!-Лист3!A79)^2)</f>
        <v>#REF!</v>
      </c>
      <c r="I79" s="1" t="e">
        <f t="shared" si="13"/>
        <v>#REF!</v>
      </c>
      <c r="J79" s="1" t="e">
        <f t="shared" si="12"/>
        <v>#REF!</v>
      </c>
      <c r="K79" s="1" t="e">
        <f>MIN(Лист2!#REF!)</f>
        <v>#REF!</v>
      </c>
      <c r="L79" s="1" t="e">
        <f>ROUND(J79*Лист2!#REF!,2)</f>
        <v>#REF!</v>
      </c>
      <c r="M79" s="1">
        <f>COUNTA(Лист2!#REF!)</f>
        <v>1</v>
      </c>
    </row>
    <row r="80" spans="1:13" x14ac:dyDescent="0.25">
      <c r="A80" s="1" t="e">
        <f>SUM(Лист2!#REF!)/M80</f>
        <v>#REF!</v>
      </c>
      <c r="B80" s="1" t="e">
        <f t="shared" si="10"/>
        <v>#REF!</v>
      </c>
      <c r="C80" s="1" t="e">
        <f t="shared" si="11"/>
        <v>#REF!</v>
      </c>
      <c r="D80" s="1" t="e">
        <f>ROUND(IF(Лист2!#REF!&lt;=0, "нет данных", (Лист2!#REF!-Лист3!A80)^2),2)</f>
        <v>#REF!</v>
      </c>
      <c r="E80" s="1" t="e">
        <f>IF(Лист2!#REF! &lt;= 0, "нет данных", (Лист2!#REF!-Лист3!A80)^2)</f>
        <v>#REF!</v>
      </c>
      <c r="F80" s="1" t="e">
        <f>IF(Лист2!#REF!&lt;=0, "нет данных", (Лист2!#REF!-Лист3!A80)^2)</f>
        <v>#REF!</v>
      </c>
      <c r="G80" s="1" t="e">
        <f>IF(Лист2!#REF!&lt;=0, "нет данных", (Лист2!#REF!-Лист3!A80)^2)</f>
        <v>#REF!</v>
      </c>
      <c r="I80" s="1" t="e">
        <f t="shared" si="13"/>
        <v>#REF!</v>
      </c>
      <c r="J80" s="1" t="e">
        <f t="shared" si="12"/>
        <v>#REF!</v>
      </c>
      <c r="K80" s="1" t="e">
        <f>MIN(Лист2!#REF!)</f>
        <v>#REF!</v>
      </c>
      <c r="L80" s="1" t="e">
        <f>ROUND(J80*Лист2!#REF!,2)</f>
        <v>#REF!</v>
      </c>
      <c r="M80" s="1">
        <f>COUNTA(Лист2!#REF!)</f>
        <v>1</v>
      </c>
    </row>
    <row r="81" spans="1:13" x14ac:dyDescent="0.25">
      <c r="A81" s="1" t="e">
        <f>SUM(Лист2!#REF!)/M81</f>
        <v>#REF!</v>
      </c>
      <c r="B81" s="1" t="e">
        <f t="shared" si="10"/>
        <v>#REF!</v>
      </c>
      <c r="C81" s="1" t="e">
        <f t="shared" si="11"/>
        <v>#REF!</v>
      </c>
      <c r="D81" s="1" t="e">
        <f>ROUND(IF(Лист2!#REF!&lt;=0, "нет данных", (Лист2!#REF!-Лист3!A81)^2),2)</f>
        <v>#REF!</v>
      </c>
      <c r="E81" s="1" t="e">
        <f>IF(Лист2!#REF! &lt;= 0, "нет данных", (Лист2!#REF!-Лист3!A81)^2)</f>
        <v>#REF!</v>
      </c>
      <c r="F81" s="1" t="e">
        <f>IF(Лист2!#REF!&lt;=0, "нет данных", (Лист2!#REF!-Лист3!A81)^2)</f>
        <v>#REF!</v>
      </c>
      <c r="G81" s="1" t="e">
        <f>IF(Лист2!#REF!&lt;=0, "нет данных", (Лист2!#REF!-Лист3!A81)^2)</f>
        <v>#REF!</v>
      </c>
      <c r="I81" s="1" t="e">
        <f t="shared" si="13"/>
        <v>#REF!</v>
      </c>
      <c r="J81" s="1" t="e">
        <f t="shared" si="12"/>
        <v>#REF!</v>
      </c>
      <c r="K81" s="1" t="e">
        <f>MIN(Лист2!#REF!)</f>
        <v>#REF!</v>
      </c>
      <c r="L81" s="1" t="e">
        <f>ROUND(J81*Лист2!#REF!,2)</f>
        <v>#REF!</v>
      </c>
      <c r="M81" s="1">
        <f>COUNTA(Лист2!#REF!)</f>
        <v>1</v>
      </c>
    </row>
    <row r="82" spans="1:13" x14ac:dyDescent="0.25">
      <c r="A82" s="1" t="e">
        <f>SUM(Лист2!#REF!)/M82</f>
        <v>#REF!</v>
      </c>
      <c r="B82" s="1" t="e">
        <f t="shared" si="10"/>
        <v>#REF!</v>
      </c>
      <c r="C82" s="1" t="e">
        <f t="shared" si="11"/>
        <v>#REF!</v>
      </c>
      <c r="D82" s="1" t="e">
        <f>ROUND(IF(Лист2!#REF!&lt;=0, "нет данных", (Лист2!#REF!-Лист3!A82)^2),2)</f>
        <v>#REF!</v>
      </c>
      <c r="E82" s="1" t="e">
        <f>IF(Лист2!#REF! &lt;= 0, "нет данных", (Лист2!#REF!-Лист3!A82)^2)</f>
        <v>#REF!</v>
      </c>
      <c r="F82" s="1" t="e">
        <f>IF(Лист2!#REF!&lt;=0, "нет данных", (Лист2!#REF!-Лист3!A82)^2)</f>
        <v>#REF!</v>
      </c>
      <c r="G82" s="1" t="e">
        <f>IF(Лист2!#REF!&lt;=0, "нет данных", (Лист2!#REF!-Лист3!A82)^2)</f>
        <v>#REF!</v>
      </c>
      <c r="I82" s="1" t="e">
        <f t="shared" si="13"/>
        <v>#REF!</v>
      </c>
      <c r="J82" s="1" t="e">
        <f t="shared" si="12"/>
        <v>#REF!</v>
      </c>
      <c r="K82" s="1" t="e">
        <f>MIN(Лист2!#REF!)</f>
        <v>#REF!</v>
      </c>
      <c r="L82" s="1" t="e">
        <f>ROUND(J82*Лист2!#REF!,2)</f>
        <v>#REF!</v>
      </c>
      <c r="M82" s="1">
        <f>COUNTA(Лист2!#REF!)</f>
        <v>1</v>
      </c>
    </row>
    <row r="83" spans="1:13" x14ac:dyDescent="0.25">
      <c r="A83" s="1" t="e">
        <f>SUM(Лист2!#REF!)/M83</f>
        <v>#REF!</v>
      </c>
      <c r="B83" s="1" t="e">
        <f t="shared" si="10"/>
        <v>#REF!</v>
      </c>
      <c r="C83" s="1" t="e">
        <f t="shared" si="11"/>
        <v>#REF!</v>
      </c>
      <c r="D83" s="1" t="e">
        <f>ROUND(IF(Лист2!#REF!&lt;=0, "нет данных", (Лист2!#REF!-Лист3!A83)^2),2)</f>
        <v>#REF!</v>
      </c>
      <c r="E83" s="1" t="e">
        <f>IF(Лист2!#REF! &lt;= 0, "нет данных", (Лист2!#REF!-Лист3!A83)^2)</f>
        <v>#REF!</v>
      </c>
      <c r="F83" s="1" t="e">
        <f>IF(Лист2!#REF!&lt;=0, "нет данных", (Лист2!#REF!-Лист3!A83)^2)</f>
        <v>#REF!</v>
      </c>
      <c r="G83" s="1" t="e">
        <f>IF(Лист2!#REF!&lt;=0, "нет данных", (Лист2!#REF!-Лист3!A83)^2)</f>
        <v>#REF!</v>
      </c>
      <c r="I83" s="1" t="e">
        <f t="shared" si="13"/>
        <v>#REF!</v>
      </c>
      <c r="J83" s="1" t="e">
        <f t="shared" si="12"/>
        <v>#REF!</v>
      </c>
      <c r="K83" s="1" t="e">
        <f>MIN(Лист2!#REF!)</f>
        <v>#REF!</v>
      </c>
      <c r="L83" s="1" t="e">
        <f>ROUND(J83*Лист2!#REF!,2)</f>
        <v>#REF!</v>
      </c>
      <c r="M83" s="1">
        <f>COUNTA(Лист2!#REF!)</f>
        <v>1</v>
      </c>
    </row>
    <row r="84" spans="1:13" x14ac:dyDescent="0.25">
      <c r="A84" s="1" t="e">
        <f>SUM(Лист2!#REF!)/M84</f>
        <v>#REF!</v>
      </c>
      <c r="B84" s="1" t="e">
        <f t="shared" si="10"/>
        <v>#REF!</v>
      </c>
      <c r="C84" s="1" t="e">
        <f t="shared" si="11"/>
        <v>#REF!</v>
      </c>
      <c r="D84" s="1" t="e">
        <f>ROUND(IF(Лист2!#REF!&lt;=0, "нет данных", (Лист2!#REF!-Лист3!A84)^2),2)</f>
        <v>#REF!</v>
      </c>
      <c r="E84" s="1" t="e">
        <f>IF(Лист2!#REF! &lt;= 0, "нет данных", (Лист2!#REF!-Лист3!A84)^2)</f>
        <v>#REF!</v>
      </c>
      <c r="F84" s="1" t="e">
        <f>IF(Лист2!#REF!&lt;=0, "нет данных", (Лист2!#REF!-Лист3!A84)^2)</f>
        <v>#REF!</v>
      </c>
      <c r="G84" s="1" t="e">
        <f>IF(Лист2!#REF!&lt;=0, "нет данных", (Лист2!#REF!-Лист3!A84)^2)</f>
        <v>#REF!</v>
      </c>
      <c r="I84" s="1" t="e">
        <f t="shared" si="13"/>
        <v>#REF!</v>
      </c>
      <c r="J84" s="1" t="e">
        <f t="shared" si="12"/>
        <v>#REF!</v>
      </c>
      <c r="K84" s="1" t="e">
        <f>MIN(Лист2!#REF!)</f>
        <v>#REF!</v>
      </c>
      <c r="L84" s="1" t="e">
        <f>ROUND(J84*Лист2!#REF!,2)</f>
        <v>#REF!</v>
      </c>
      <c r="M84" s="1">
        <f>COUNTA(Лист2!#REF!)</f>
        <v>1</v>
      </c>
    </row>
    <row r="85" spans="1:13" x14ac:dyDescent="0.25">
      <c r="A85" s="1" t="e">
        <f>SUM(Лист2!#REF!)/M85</f>
        <v>#REF!</v>
      </c>
      <c r="B85" s="1" t="e">
        <f t="shared" si="10"/>
        <v>#REF!</v>
      </c>
      <c r="C85" s="1" t="e">
        <f t="shared" si="11"/>
        <v>#REF!</v>
      </c>
      <c r="D85" s="1" t="e">
        <f>ROUND(IF(Лист2!#REF!&lt;=0, "нет данных", (Лист2!#REF!-Лист3!A85)^2),2)</f>
        <v>#REF!</v>
      </c>
      <c r="E85" s="1" t="e">
        <f>IF(Лист2!#REF! &lt;= 0, "нет данных", (Лист2!#REF!-Лист3!A85)^2)</f>
        <v>#REF!</v>
      </c>
      <c r="F85" s="1" t="e">
        <f>IF(Лист2!#REF!&lt;=0, "нет данных", (Лист2!#REF!-Лист3!A85)^2)</f>
        <v>#REF!</v>
      </c>
      <c r="G85" s="1" t="e">
        <f>IF(Лист2!#REF!&lt;=0, "нет данных", (Лист2!#REF!-Лист3!A85)^2)</f>
        <v>#REF!</v>
      </c>
      <c r="I85" s="1" t="e">
        <f t="shared" si="13"/>
        <v>#REF!</v>
      </c>
      <c r="J85" s="1" t="e">
        <f t="shared" si="12"/>
        <v>#REF!</v>
      </c>
      <c r="K85" s="1" t="e">
        <f>MIN(Лист2!#REF!)</f>
        <v>#REF!</v>
      </c>
      <c r="L85" s="1" t="e">
        <f>ROUND(J85*Лист2!#REF!,2)</f>
        <v>#REF!</v>
      </c>
      <c r="M85" s="1">
        <f>COUNTA(Лист2!#REF!)</f>
        <v>1</v>
      </c>
    </row>
    <row r="86" spans="1:13" x14ac:dyDescent="0.25">
      <c r="A86" s="1" t="e">
        <f>SUM(Лист2!E60:I60)/M86</f>
        <v>#DIV/0!</v>
      </c>
      <c r="B86" s="1" t="e">
        <f t="shared" si="10"/>
        <v>#VALUE!</v>
      </c>
      <c r="C86" s="1" t="e">
        <f t="shared" si="11"/>
        <v>#VALUE!</v>
      </c>
      <c r="D86" s="1" t="e">
        <f>ROUND(IF(Лист2!E60&lt;=0, "нет данных", (Лист2!E60-Лист3!A86)^2),2)</f>
        <v>#VALUE!</v>
      </c>
      <c r="E86" s="1" t="str">
        <f>IF(Лист2!F60 &lt;= 0, "нет данных", (Лист2!F60-Лист3!A86)^2)</f>
        <v>нет данных</v>
      </c>
      <c r="F86" s="1" t="str">
        <f>IF(Лист2!G60&lt;=0, "нет данных", (Лист2!G60-Лист3!A86)^2)</f>
        <v>нет данных</v>
      </c>
      <c r="G86" s="1" t="str">
        <f>IF(Лист2!H60&lt;=0, "нет данных", (Лист2!H60-Лист3!A86)^2)</f>
        <v>нет данных</v>
      </c>
      <c r="I86" s="1" t="e">
        <f t="shared" si="13"/>
        <v>#VALUE!</v>
      </c>
      <c r="J86" s="1" t="e">
        <f t="shared" si="12"/>
        <v>#VALUE!</v>
      </c>
      <c r="K86" s="1">
        <f>MIN(Лист2!E60:G60)</f>
        <v>0</v>
      </c>
      <c r="L86" s="1" t="e">
        <f>ROUND(J86*Лист2!C60,2)</f>
        <v>#VALUE!</v>
      </c>
      <c r="M86" s="1">
        <f>COUNTA(Лист2!E60:I60)</f>
        <v>0</v>
      </c>
    </row>
    <row r="87" spans="1:13" x14ac:dyDescent="0.25">
      <c r="A87" s="1" t="e">
        <f>SUM(Лист2!E61:I61)/M87</f>
        <v>#DIV/0!</v>
      </c>
      <c r="B87" s="1" t="e">
        <f t="shared" si="10"/>
        <v>#VALUE!</v>
      </c>
      <c r="C87" s="1" t="e">
        <f t="shared" si="11"/>
        <v>#VALUE!</v>
      </c>
      <c r="D87" s="1" t="e">
        <f>ROUND(IF(Лист2!E61&lt;=0, "нет данных", (Лист2!E61-Лист3!A87)^2),2)</f>
        <v>#VALUE!</v>
      </c>
      <c r="E87" s="1" t="str">
        <f>IF(Лист2!F61 &lt;= 0, "нет данных", (Лист2!F61-Лист3!A87)^2)</f>
        <v>нет данных</v>
      </c>
      <c r="F87" s="1" t="str">
        <f>IF(Лист2!G61&lt;=0, "нет данных", (Лист2!G61-Лист3!A87)^2)</f>
        <v>нет данных</v>
      </c>
      <c r="G87" s="1" t="str">
        <f>IF(Лист2!H61&lt;=0, "нет данных", (Лист2!H61-Лист3!A87)^2)</f>
        <v>нет данных</v>
      </c>
      <c r="I87" s="1" t="e">
        <f t="shared" si="13"/>
        <v>#VALUE!</v>
      </c>
      <c r="J87" s="1" t="e">
        <f t="shared" si="12"/>
        <v>#VALUE!</v>
      </c>
      <c r="K87" s="1">
        <f>MIN(Лист2!E61:G61)</f>
        <v>0</v>
      </c>
      <c r="L87" s="1" t="e">
        <f>ROUND(J87*Лист2!C61,2)</f>
        <v>#VALUE!</v>
      </c>
      <c r="M87" s="1">
        <f>COUNTA(Лист2!E61:I61)</f>
        <v>0</v>
      </c>
    </row>
    <row r="88" spans="1:13" x14ac:dyDescent="0.25">
      <c r="A88" s="1" t="e">
        <f>SUM(Лист2!E62:I62)/M88</f>
        <v>#DIV/0!</v>
      </c>
      <c r="B88" s="1" t="e">
        <f t="shared" si="10"/>
        <v>#VALUE!</v>
      </c>
      <c r="C88" s="1" t="e">
        <f t="shared" si="11"/>
        <v>#VALUE!</v>
      </c>
      <c r="D88" s="1" t="e">
        <f>ROUND(IF(Лист2!E62&lt;=0, "нет данных", (Лист2!E62-Лист3!A88)^2),2)</f>
        <v>#VALUE!</v>
      </c>
      <c r="E88" s="1" t="str">
        <f>IF(Лист2!F62 &lt;= 0, "нет данных", (Лист2!F62-Лист3!A88)^2)</f>
        <v>нет данных</v>
      </c>
      <c r="F88" s="1" t="str">
        <f>IF(Лист2!G62&lt;=0, "нет данных", (Лист2!G62-Лист3!A88)^2)</f>
        <v>нет данных</v>
      </c>
      <c r="G88" s="1" t="str">
        <f>IF(Лист2!H62&lt;=0, "нет данных", (Лист2!H62-Лист3!A88)^2)</f>
        <v>нет данных</v>
      </c>
      <c r="I88" s="1" t="e">
        <f t="shared" si="13"/>
        <v>#VALUE!</v>
      </c>
      <c r="J88" s="1" t="e">
        <f t="shared" si="12"/>
        <v>#VALUE!</v>
      </c>
      <c r="K88" s="1">
        <f>MIN(Лист2!E62:G62)</f>
        <v>0</v>
      </c>
      <c r="L88" s="1" t="e">
        <f>ROUND(J88*Лист2!C62,2)</f>
        <v>#VALUE!</v>
      </c>
      <c r="M88" s="1">
        <f>COUNTA(Лист2!E62:I62)</f>
        <v>0</v>
      </c>
    </row>
    <row r="89" spans="1:13" x14ac:dyDescent="0.25">
      <c r="A89" s="1" t="e">
        <f>SUM(Лист2!E63:I63)/M89</f>
        <v>#DIV/0!</v>
      </c>
      <c r="B89" s="1" t="e">
        <f t="shared" si="10"/>
        <v>#VALUE!</v>
      </c>
      <c r="C89" s="1" t="e">
        <f t="shared" si="11"/>
        <v>#VALUE!</v>
      </c>
      <c r="D89" s="1" t="e">
        <f>ROUND(IF(Лист2!E63&lt;=0, "нет данных", (Лист2!E63-Лист3!A89)^2),2)</f>
        <v>#VALUE!</v>
      </c>
      <c r="E89" s="1" t="str">
        <f>IF(Лист2!F63 &lt;= 0, "нет данных", (Лист2!F63-Лист3!A89)^2)</f>
        <v>нет данных</v>
      </c>
      <c r="F89" s="1" t="str">
        <f>IF(Лист2!G63&lt;=0, "нет данных", (Лист2!G63-Лист3!A89)^2)</f>
        <v>нет данных</v>
      </c>
      <c r="G89" s="1" t="str">
        <f>IF(Лист2!H63&lt;=0, "нет данных", (Лист2!H63-Лист3!A89)^2)</f>
        <v>нет данных</v>
      </c>
      <c r="I89" s="1" t="e">
        <f t="shared" si="13"/>
        <v>#VALUE!</v>
      </c>
      <c r="J89" s="1" t="e">
        <f t="shared" si="12"/>
        <v>#VALUE!</v>
      </c>
      <c r="K89" s="1">
        <f>MIN(Лист2!E63:G63)</f>
        <v>0</v>
      </c>
      <c r="L89" s="1" t="e">
        <f>ROUND(J89*Лист2!C63,2)</f>
        <v>#VALUE!</v>
      </c>
      <c r="M89" s="1">
        <f>COUNTA(Лист2!E63:I63)</f>
        <v>0</v>
      </c>
    </row>
    <row r="90" spans="1:13" x14ac:dyDescent="0.25">
      <c r="A90" s="1" t="e">
        <f>SUM(Лист2!E64:I64)/M90</f>
        <v>#DIV/0!</v>
      </c>
      <c r="B90" s="1" t="e">
        <f t="shared" si="10"/>
        <v>#VALUE!</v>
      </c>
      <c r="C90" s="1" t="e">
        <f t="shared" si="11"/>
        <v>#VALUE!</v>
      </c>
      <c r="D90" s="1" t="e">
        <f>ROUND(IF(Лист2!E64&lt;=0, "нет данных", (Лист2!E64-Лист3!A90)^2),2)</f>
        <v>#VALUE!</v>
      </c>
      <c r="E90" s="1" t="str">
        <f>IF(Лист2!F64 &lt;= 0, "нет данных", (Лист2!F64-Лист3!A90)^2)</f>
        <v>нет данных</v>
      </c>
      <c r="F90" s="1" t="str">
        <f>IF(Лист2!G64&lt;=0, "нет данных", (Лист2!G64-Лист3!A90)^2)</f>
        <v>нет данных</v>
      </c>
      <c r="G90" s="1" t="str">
        <f>IF(Лист2!H64&lt;=0, "нет данных", (Лист2!H64-Лист3!A90)^2)</f>
        <v>нет данных</v>
      </c>
      <c r="I90" s="1" t="e">
        <f t="shared" si="13"/>
        <v>#VALUE!</v>
      </c>
      <c r="J90" s="1" t="e">
        <f t="shared" si="12"/>
        <v>#VALUE!</v>
      </c>
      <c r="K90" s="1">
        <f>MIN(Лист2!E64:G64)</f>
        <v>0</v>
      </c>
      <c r="L90" s="1" t="e">
        <f>ROUND(J90*Лист2!C64,2)</f>
        <v>#VALUE!</v>
      </c>
      <c r="M90" s="1">
        <f>COUNTA(Лист2!E64:I64)</f>
        <v>0</v>
      </c>
    </row>
  </sheetData>
  <mergeCells count="1">
    <mergeCell ref="D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АО "ЦКБ "Титан"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a94 Пономарёва Ю.Н.</dc:creator>
  <cp:lastModifiedBy>341 Сивордова Юлия Алексеевна</cp:lastModifiedBy>
  <cp:lastPrinted>2021-08-27T05:44:07Z</cp:lastPrinted>
  <dcterms:created xsi:type="dcterms:W3CDTF">2020-05-14T11:34:34Z</dcterms:created>
  <dcterms:modified xsi:type="dcterms:W3CDTF">2021-09-14T12:22:48Z</dcterms:modified>
</cp:coreProperties>
</file>